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VALENCIA\"/>
    </mc:Choice>
  </mc:AlternateContent>
  <workbookProtection workbookAlgorithmName="SHA-512" workbookHashValue="2v5r/koxcWi1wq8HkGj7IYvJJ69OhC9uy4OTznKLJfTKzbpBlndr/hgmQ2+8hpc8g/nxsaARbdnzFQJUd5Wqbw==" workbookSaltValue="QEv+jm0sl0uHzHO7WK9Zq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20" i="8"/>
  <c r="T13" i="12"/>
  <c r="BD18" i="13"/>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L9" i="16" s="1"/>
  <c r="BE9" i="13"/>
  <c r="ER20" i="13"/>
  <c r="BD11" i="13"/>
  <c r="BE18" i="8"/>
  <c r="BE11" i="8"/>
  <c r="I11" i="7" s="1"/>
  <c r="BE15" i="8"/>
  <c r="I15" i="7" s="1"/>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C9" i="6"/>
  <c r="C18" i="6"/>
  <c r="L18" i="14"/>
  <c r="W13" i="17"/>
  <c r="C15" i="6"/>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I18" i="12" l="1"/>
  <c r="I15" i="12"/>
  <c r="BI20" i="26"/>
  <c r="BE13" i="8"/>
  <c r="F13" i="12"/>
  <c r="BF13" i="8"/>
  <c r="J9" i="12"/>
  <c r="BD19" i="13"/>
  <c r="K12" i="12"/>
  <c r="J12" i="12"/>
  <c r="S16" i="16"/>
  <c r="BW16" i="27"/>
  <c r="P16" i="17"/>
  <c r="S16" i="26"/>
  <c r="BL16" i="11"/>
  <c r="BJ16" i="11"/>
  <c r="BH16" i="11"/>
  <c r="BF16" i="11"/>
  <c r="BM16" i="11"/>
  <c r="BI16" i="11"/>
  <c r="AP16" i="20"/>
  <c r="BV16" i="16"/>
  <c r="BH16" i="16"/>
  <c r="T16" i="16"/>
  <c r="AP16" i="27"/>
  <c r="BU16" i="17"/>
  <c r="Q16" i="17"/>
  <c r="BV16" i="26"/>
  <c r="BH16" i="26"/>
  <c r="T16" i="26"/>
  <c r="BK16" i="11"/>
  <c r="BG16" i="11"/>
  <c r="V16" i="11"/>
  <c r="S16" i="14"/>
  <c r="V16" i="14" s="1"/>
  <c r="U16" i="17"/>
  <c r="X16" i="16"/>
  <c r="AZ16" i="11"/>
  <c r="T16" i="11"/>
  <c r="V16" i="26"/>
  <c r="S16" i="17"/>
  <c r="V16" i="16"/>
  <c r="AM16" i="11"/>
  <c r="AO16" i="17"/>
  <c r="AA16" i="16"/>
  <c r="X16" i="26"/>
  <c r="V16" i="27"/>
  <c r="V16" i="20"/>
  <c r="L16" i="2"/>
  <c r="R16" i="14"/>
  <c r="AA16" i="26"/>
  <c r="X16" i="17"/>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<sst xmlns="http://schemas.openxmlformats.org/spreadsheetml/2006/main" count="2527" uniqueCount="1027">
  <si>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</si>
  <si>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</si>
  <si>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</si>
  <si>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</si>
  <si>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</si>
  <si>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</si>
  <si>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</si>
  <si>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</si>
  <si>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</si>
  <si>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</si>
  <si>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</si>
  <si>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</si>
  <si>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</si>
  <si>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</si>
  <si>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</si>
  <si>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</si>
  <si>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</si>
  <si>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</si>
  <si>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</si>
  <si>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</si>
  <si>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</si>
  <si>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</si>
  <si>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</si>
  <si>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</si>
  <si>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</si>
  <si>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</si>
  <si>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</si>
  <si>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</si>
  <si>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</si>
  <si>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</si>
  <si>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</si>
  <si>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</si>
  <si>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</si>
  <si>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</si>
  <si>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</si>
  <si>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</si>
  <si>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</si>
  <si>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</si>
  <si>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</si>
  <si>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</si>
  <si>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</si>
  <si>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</si>
  <si>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</si>
  <si>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</si>
  <si>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</si>
  <si>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</si>
  <si>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</si>
  <si>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</si>
  <si>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</si>
  <si>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</si>
  <si>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</si>
  <si>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</si>
  <si>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</si>
  <si>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</si>
  <si>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</si>
  <si>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</si>
  <si>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</si>
  <si>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</si>
  <si>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</si>
  <si>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</si>
  <si>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</si>
  <si>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</si>
  <si>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</si>
  <si>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</si>
  <si>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</si>
  <si>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</si>
  <si>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</si>
  <si>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</si>
  <si>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</si>
  <si>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</si>
  <si>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</si>
  <si>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</si>
  <si>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</si>
  <si>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</si>
  <si>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</si>
  <si>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</si>
  <si>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</si>
  <si>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</si>
  <si>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</si>
  <si>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</si>
  <si>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</si>
  <si>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</si>
  <si>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</si>
  <si>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</si>
  <si>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</si>
  <si>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</si>
  <si>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</si>
  <si>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</si>
  <si>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</si>
  <si>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</si>
  <si>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</si>
  <si>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</si>
  <si>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</si>
  <si>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</si>
  <si>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</si>
  <si>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</si>
  <si>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</si>
  <si>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</si>
  <si>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</si>
  <si>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</si>
  <si>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</si>
  <si>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</si>
  <si>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</si>
  <si>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</si>
  <si>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</si>
  <si>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</si>
  <si>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</si>
  <si>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</si>
  <si>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</si>
  <si>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</si>
  <si>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</si>
  <si>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</si>
  <si>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</si>
  <si>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</si>
  <si>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</si>
  <si>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</si>
  <si>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</si>
  <si>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</si>
  <si>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</si>
  <si>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</si>
  <si>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</si>
  <si>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</si>
  <si>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</si>
  <si>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</si>
  <si>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</si>
  <si>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</si>
  <si>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</si>
  <si>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</si>
  <si>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</si>
  <si>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</si>
  <si>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</si>
  <si>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</si>
  <si>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</si>
  <si>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</si>
  <si>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</si>
  <si>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</si>
  <si>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</si>
  <si>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</si>
  <si>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</si>
  <si>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</si>
  <si>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</si>
  <si>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</si>
  <si>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</si>
  <si>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</si>
  <si>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</si>
  <si>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</si>
  <si>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</si>
  <si>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</si>
  <si>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</si>
  <si>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</si>
  <si>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</si>
  <si>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</si>
  <si>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</si>
  <si>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</si>
  <si>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</si>
  <si>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</si>
  <si>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</si>
  <si>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</si>
  <si>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</si>
  <si>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</si>
  <si>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</si>
  <si>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</si>
  <si>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</si>
  <si>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</si>
  <si>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</si>
  <si>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</si>
  <si>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</si>
  <si>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</si>
  <si>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</si>
  <si>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</si>
  <si>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</si>
  <si>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</si>
  <si>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</si>
  <si>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</si>
  <si>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</si>
  <si>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</si>
  <si>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</si>
  <si>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</si>
  <si>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</si>
  <si>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</si>
  <si>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</si>
  <si>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</si>
  <si>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</si>
  <si>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</si>
  <si>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</si>
  <si>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</si>
  <si>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</si>
  <si>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</si>
  <si>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</si>
  <si>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</si>
  <si>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</si>
  <si>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</si>
  <si>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</si>
  <si>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</si>
  <si>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</si>
  <si>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</si>
  <si>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</si>
  <si>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</si>
  <si>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</si>
  <si>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</si>
  <si>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</si>
  <si>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</si>
  <si>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</si>
  <si>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</si>
  <si>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</si>
  <si>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</si>
  <si>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</si>
  <si>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</si>
  <si>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</si>
  <si>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</si>
  <si>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</si>
  <si>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</si>
  <si>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</si>
  <si>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</si>
  <si>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</si>
  <si>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</si>
  <si>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</si>
  <si>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</si>
  <si>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</si>
  <si>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</si>
  <si>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</si>
  <si>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</si>
  <si>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</si>
  <si>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</si>
  <si>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</si>
  <si>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</si>
  <si>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</si>
  <si>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</si>
  <si>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</si>
  <si>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</si>
  <si>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</si>
  <si>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</si>
  <si>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</si>
  <si>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</si>
  <si>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</si>
  <si>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</si>
  <si>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</si>
  <si>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</si>
  <si>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</si>
  <si>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</si>
  <si>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</si>
  <si>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</si>
  <si>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</si>
  <si>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</si>
  <si>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</si>
  <si>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</si>
  <si>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</si>
  <si>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</si>
  <si>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</si>
  <si>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</si>
  <si>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</si>
  <si>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</si>
  <si>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</si>
  <si>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</si>
  <si>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</si>
  <si>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</si>
  <si>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</si>
  <si>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</si>
  <si>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</si>
  <si>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</si>
  <si>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</si>
  <si>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</si>
  <si>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</si>
  <si>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</si>
  <si>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</si>
  <si>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</si>
  <si>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</si>
  <si>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</si>
  <si>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</si>
  <si>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</si>
  <si>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</si>
  <si>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</si>
  <si>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</si>
  <si>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</si>
  <si>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</si>
  <si>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</si>
  <si>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</si>
  <si>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</si>
  <si>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</si>
  <si>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</si>
  <si>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</si>
  <si>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</si>
  <si>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</si>
  <si>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</si>
  <si>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</si>
  <si>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</si>
  <si>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</si>
  <si>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</si>
  <si>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</si>
  <si>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</si>
  <si>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</si>
  <si>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</si>
  <si>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</si>
  <si>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</si>
  <si>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</si>
  <si>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</si>
  <si>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</si>
  <si>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</si>
  <si>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</si>
  <si>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</si>
  <si>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</si>
  <si>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</si>
  <si>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</si>
  <si>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</si>
  <si>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</si>
  <si>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</si>
  <si>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</si>
  <si>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</si>
  <si>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</si>
  <si>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</si>
  <si>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</si>
  <si>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</si>
  <si>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</si>
  <si>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</si>
  <si>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</si>
  <si>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</si>
  <si>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</si>
  <si>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</si>
  <si>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</si>
  <si>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</si>
  <si>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</si>
  <si>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</si>
  <si>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</si>
  <si>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</si>
  <si>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</si>
  <si>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</si>
  <si>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</si>
  <si>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</si>
  <si>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</si>
  <si>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</si>
  <si>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</si>
  <si>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</si>
  <si>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</si>
  <si>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</si>
  <si>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</si>
  <si>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</si>
  <si>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</si>
  <si>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</si>
  <si>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</si>
  <si>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</si>
  <si>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</si>
  <si>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</si>
  <si>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</si>
  <si>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</si>
  <si>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</si>
  <si>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</si>
  <si>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</si>
  <si>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</si>
  <si>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</si>
  <si>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</si>
  <si>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</si>
  <si>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</si>
  <si>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</si>
  <si>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</si>
  <si>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</si>
  <si>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</si>
  <si>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</si>
  <si>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</si>
  <si>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</si>
  <si>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</si>
  <si>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</si>
  <si>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</si>
  <si>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</si>
  <si>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</si>
  <si>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</si>
  <si>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</si>
  <si>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</si>
  <si>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</si>
  <si>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</si>
  <si>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</si>
  <si>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</si>
  <si>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</si>
  <si>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</si>
  <si>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</si>
  <si>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</si>
  <si>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</si>
  <si>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</si>
  <si>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</si>
  <si>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</si>
  <si>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</si>
  <si>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</si>
  <si>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</si>
  <si>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</si>
  <si>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</si>
  <si>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</si>
  <si>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</si>
  <si>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</si>
  <si>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</si>
  <si>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</si>
  <si>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</si>
  <si>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</si>
  <si>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</si>
  <si>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</si>
  <si>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</si>
  <si>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</si>
  <si>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</si>
  <si>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</si>
  <si>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</si>
  <si>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</si>
  <si>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</si>
  <si>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</si>
  <si>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</si>
  <si>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</si>
  <si>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</si>
  <si>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</si>
  <si>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</si>
  <si>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</si>
  <si>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</si>
  <si>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</si>
  <si>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</si>
  <si>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</si>
  <si>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</si>
  <si>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</si>
  <si>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</si>
  <si>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</si>
  <si>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</si>
  <si>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</si>
  <si>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</si>
  <si>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</si>
  <si>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</si>
  <si>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</si>
  <si>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</si>
  <si>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</si>
  <si>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</si>
  <si>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</si>
  <si>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</si>
  <si>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</si>
  <si>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</si>
  <si>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</si>
  <si>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</si>
  <si>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</si>
  <si>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</si>
  <si>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</si>
  <si>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</si>
  <si>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</si>
  <si>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</si>
  <si>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</si>
  <si>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</si>
  <si>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</si>
  <si>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</si>
  <si>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</si>
  <si>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</si>
  <si>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</si>
  <si>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</si>
  <si>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</si>
  <si>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</si>
  <si>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</si>
  <si>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</si>
  <si>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</si>
  <si>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</si>
  <si>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</si>
  <si>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</si>
  <si>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</si>
  <si>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</si>
  <si>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</si>
  <si>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</si>
  <si>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</si>
  <si>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</si>
  <si>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</si>
  <si>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</si>
  <si>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</si>
  <si>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</si>
  <si>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</si>
  <si>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</si>
  <si>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</si>
  <si>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</si>
  <si>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</si>
  <si>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</si>
  <si>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</si>
  <si>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</si>
  <si>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</si>
  <si>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</si>
  <si>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</si>
  <si>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</si>
  <si>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</si>
  <si>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</si>
  <si>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</si>
  <si>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</si>
  <si>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</si>
  <si>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</si>
  <si>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</si>
  <si>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</si>
  <si>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</si>
  <si>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</si>
  <si>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</si>
  <si>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</si>
  <si>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</si>
  <si>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</si>
  <si>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</si>
  <si>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</si>
  <si>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</si>
  <si>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</si>
  <si>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</si>
  <si>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</si>
  <si>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</si>
  <si>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</si>
  <si>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</si>
  <si>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</si>
  <si>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</si>
  <si>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</si>
  <si>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</si>
  <si>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</si>
  <si>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</si>
  <si>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</si>
  <si>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</si>
  <si>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</si>
  <si>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</si>
  <si>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</si>
  <si>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</si>
  <si>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</si>
  <si>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</si>
  <si>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</si>
  <si>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</si>
  <si>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</si>
  <si>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</si>
  <si>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</si>
  <si>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</si>
  <si>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</si>
  <si>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</si>
  <si>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</si>
  <si>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</si>
  <si>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</si>
  <si>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</si>
  <si>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</si>
  <si>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</si>
  <si>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</si>
  <si>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</si>
  <si>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</si>
  <si>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</si>
  <si>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</si>
  <si>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</si>
  <si>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</si>
  <si>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</si>
  <si>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</si>
  <si>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</si>
  <si>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</si>
  <si>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</si>
  <si>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</si>
  <si>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</si>
  <si>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</si>
  <si>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</si>
  <si>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</si>
  <si>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</si>
  <si>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</si>
  <si>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</si>
  <si>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</si>
  <si>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</si>
  <si>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</si>
  <si>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</si>
  <si>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</si>
  <si>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</si>
  <si>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</si>
  <si>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</si>
  <si>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</si>
  <si>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</si>
  <si>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</si>
  <si>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</si>
  <si>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</si>
  <si>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</si>
  <si>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</si>
  <si>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</si>
  <si>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</si>
  <si>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</si>
  <si>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</si>
  <si>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</si>
  <si>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</si>
  <si>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</si>
  <si>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</si>
  <si>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</si>
  <si>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</si>
  <si>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</si>
  <si>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</si>
  <si>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</si>
  <si>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</si>
  <si>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</si>
  <si>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</si>
  <si>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</si>
  <si>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</si>
  <si>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</si>
  <si>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</si>
  <si>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</si>
  <si>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</si>
  <si>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</si>
  <si>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</si>
  <si>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</si>
  <si>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</si>
  <si>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</si>
  <si>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</si>
  <si>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</si>
  <si>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</si>
  <si>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</si>
  <si>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</si>
  <si>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</si>
  <si>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</si>
  <si>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</si>
  <si>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</si>
  <si>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</si>
  <si>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</si>
  <si>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</si>
  <si>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</si>
  <si>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</si>
  <si>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</si>
  <si>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</si>
  <si>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</si>
  <si>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</si>
  <si>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</si>
  <si>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</si>
  <si>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</si>
  <si>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</si>
  <si>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</si>
  <si>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</si>
  <si>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</si>
  <si>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</si>
  <si>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</si>
  <si>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</si>
  <si>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</si>
  <si>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</si>
  <si>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</si>
  <si>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</si>
  <si>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</si>
  <si>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</si>
  <si>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</si>
  <si>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</si>
  <si>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</si>
  <si>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</si>
  <si>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</si>
  <si>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</si>
  <si>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</si>
  <si>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</si>
  <si>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</si>
  <si>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</si>
  <si>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</si>
  <si>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</si>
  <si>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</si>
  <si>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</si>
  <si>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</si>
  <si>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</si>
  <si>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</si>
  <si>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</si>
  <si>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</si>
  <si>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</si>
  <si>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</si>
  <si>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</si>
  <si>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</si>
  <si>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</si>
  <si>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</si>
  <si>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</si>
  <si>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</si>
  <si>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</si>
  <si>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</si>
  <si>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</si>
  <si>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</si>
  <si>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</si>
  <si>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</si>
  <si>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</si>
  <si>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</si>
  <si>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</si>
  <si>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</si>
  <si>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</si>
  <si>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</si>
  <si>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</si>
  <si>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</si>
  <si>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</si>
  <si>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</si>
  <si>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</si>
  <si>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</si>
  <si>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</si>
  <si>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</si>
  <si>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</si>
  <si>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</si>
  <si>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</si>
  <si>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</si>
  <si>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</si>
  <si>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</si>
  <si>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</si>
  <si>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</si>
  <si>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</si>
  <si>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</si>
  <si>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</si>
  <si>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</si>
  <si>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</si>
  <si>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</si>
  <si>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</si>
  <si>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</si>
  <si>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</si>
  <si>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</si>
  <si>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</si>
  <si>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</si>
  <si>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</si>
  <si>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</si>
  <si>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</si>
  <si>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</si>
  <si>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</si>
  <si>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</si>
  <si>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</si>
  <si>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</si>
  <si>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</si>
  <si>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</si>
  <si>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</si>
  <si>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</si>
  <si>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</si>
  <si>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</si>
  <si>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</si>
  <si>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</si>
  <si>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</si>
  <si>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</si>
  <si>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</si>
  <si>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</si>
  <si>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</si>
  <si>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</si>
  <si>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</si>
  <si>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</si>
  <si>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</si>
  <si>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</si>
  <si>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</si>
  <si>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</si>
  <si>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</si>
  <si>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</si>
  <si>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</si>
  <si>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</si>
  <si>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</si>
  <si>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</si>
  <si>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</si>
  <si>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</si>
  <si>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</si>
  <si>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</si>
  <si>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</si>
  <si>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</si>
  <si>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</si>
  <si>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</si>
  <si>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</si>
  <si>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</si>
  <si>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</si>
  <si>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</si>
  <si>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</si>
  <si>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</si>
  <si>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</si>
  <si>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</si>
  <si>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</si>
  <si>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</si>
  <si>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</si>
  <si>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</si>
  <si>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</si>
  <si>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</si>
  <si>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</si>
  <si>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</si>
  <si>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</si>
  <si>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</si>
  <si>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</si>
  <si>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</si>
  <si>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</si>
  <si>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</si>
  <si>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</si>
  <si>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</si>
  <si>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</si>
  <si>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</si>
  <si>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</si>
  <si>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</si>
  <si>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</si>
  <si>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</si>
  <si>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</si>
  <si>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</si>
  <si>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</si>
  <si>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</si>
  <si>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</si>
  <si>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</si>
  <si>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</si>
  <si>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</si>
  <si>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</si>
  <si>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</si>
  <si>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</si>
  <si>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</si>
  <si>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</si>
  <si>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</si>
  <si>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</si>
  <si>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</si>
  <si>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</si>
  <si>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</si>
  <si>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</si>
  <si>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</si>
  <si>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</si>
  <si>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</si>
  <si>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</si>
  <si>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</si>
  <si>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</si>
  <si>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</si>
  <si>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</si>
  <si>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</si>
  <si>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</si>
  <si>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</si>
  <si>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</si>
  <si>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</si>
  <si>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</si>
  <si>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</si>
  <si>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</si>
  <si>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</si>
  <si>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</si>
  <si>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</si>
  <si>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</si>
  <si>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</si>
  <si>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</si>
  <si>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</si>
  <si>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</si>
  <si>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</si>
  <si>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</si>
  <si>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</si>
  <si>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</si>
  <si>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</si>
  <si>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</si>
  <si>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</si>
  <si>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</si>
  <si>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</si>
  <si>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</si>
  <si>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</si>
  <si>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</si>
  <si>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</si>
  <si>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</si>
  <si>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</si>
  <si>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</si>
  <si>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</si>
  <si>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</si>
  <si>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</si>
  <si>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</si>
  <si>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</si>
  <si>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</si>
  <si>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</si>
  <si>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</si>
  <si>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</si>
  <si>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</si>
  <si>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</si>
  <si>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</si>
  <si>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</si>
  <si>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</si>
  <si>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</si>
  <si>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</si>
  <si>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</si>
  <si>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</si>
  <si>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</si>
  <si>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</si>
  <si>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</si>
  <si>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</si>
  <si>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</si>
  <si>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</si>
  <si>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</si>
  <si>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</si>
  <si>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</si>
  <si>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</si>
  <si>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</si>
  <si>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</si>
  <si>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</si>
  <si>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</si>
  <si>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</si>
  <si>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</si>
  <si>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</si>
  <si>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</si>
  <si>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</si>
  <si>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</si>
  <si>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</si>
  <si>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</si>
  <si>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</si>
  <si>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</si>
  <si>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</si>
  <si>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</si>
  <si>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</si>
  <si>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</si>
  <si>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</si>
  <si>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</si>
  <si>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</si>
  <si>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</si>
  <si>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</si>
  <si>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</si>
  <si>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</si>
  <si>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</si>
  <si>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</si>
  <si>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</si>
  <si>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</si>
  <si>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</si>
  <si>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</si>
  <si>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</si>
  <si>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</si>
  <si>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</si>
  <si>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</si>
  <si>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</si>
  <si>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</si>
  <si>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</si>
  <si>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</si>
  <si>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</si>
  <si>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</si>
  <si>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</si>
  <si>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</si>
  <si>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</si>
  <si>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</si>
  <si>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</si>
  <si>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</si>
  <si>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</si>
  <si>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</si>
  <si>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</si>
  <si>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</si>
  <si>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</si>
  <si>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</si>
  <si>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</si>
  <si>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</si>
  <si>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</si>
  <si>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</si>
  <si>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</si>
  <si>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</si>
  <si>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</si>
  <si>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</si>
  <si>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</si>
  <si>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</si>
  <si>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</si>
  <si>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</si>
  <si>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</si>
  <si>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</si>
  <si>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</si>
  <si>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</si>
  <si>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</si>
  <si>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</si>
  <si>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</si>
  <si>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</si>
  <si>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</si>
  <si>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</si>
  <si>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</si>
  <si>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</si>
  <si>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</si>
  <si>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</si>
  <si>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</si>
  <si>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</si>
  <si>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</si>
  <si>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</si>
  <si>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</si>
  <si>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</si>
  <si>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</si>
  <si>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</si>
  <si>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</si>
  <si>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</si>
  <si>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</si>
  <si>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</si>
  <si>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</si>
  <si>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</si>
  <si>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</si>
  <si>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</si>
  <si>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</si>
  <si>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</si>
  <si>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</si>
  <si>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</si>
  <si>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</si>
  <si>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</si>
  <si>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</si>
  <si>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</si>
  <si>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</si>
  <si>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</si>
  <si>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</si>
  <si>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</si>
  <si>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</si>
  <si>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</si>
  <si>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</si>
  <si>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</si>
  <si>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</si>
  <si>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</si>
  <si>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</si>
  <si>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</si>
  <si>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</si>
  <si>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</si>
  <si>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</si>
  <si>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</si>
  <si>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</si>
  <si>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</si>
  <si>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</si>
  <si>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</si>
  <si>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</si>
  <si>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</si>
  <si>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</si>
  <si>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</si>
  <si>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</si>
  <si>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</si>
  <si>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</si>
  <si>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</si>
  <si>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</si>
  <si>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</si>
  <si>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</si>
  <si>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</si>
  <si>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</si>
  <si>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</si>
  <si>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</si>
  <si>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</si>
  <si>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</si>
  <si>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</si>
  <si>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</si>
  <si>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</si>
  <si>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</si>
  <si>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</si>
  <si>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</si>
  <si>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</si>
  <si>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</si>
  <si>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</si>
  <si>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</si>
  <si>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</si>
  <si>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</si>
  <si>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</si>
  <si>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</si>
  <si>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</si>
  <si>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</si>
  <si>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</si>
  <si>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</si>
  <si>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</si>
  <si>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</si>
  <si>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</si>
  <si>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</si>
  <si>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</si>
  <si>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</si>
  <si>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</si>
  <si>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</si>
  <si>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</si>
  <si>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</si>
  <si>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</si>
  <si>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</si>
  <si>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</si>
  <si>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</si>
  <si>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</si>
  <si>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</si>
  <si>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</si>
  <si>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COMUNIDAD VALENCIANA</t>
  </si>
  <si>
    <t>Provincias</t>
  </si>
  <si>
    <t>VALENCIA</t>
  </si>
  <si>
    <t>Resumenes por Partidos Judiciales</t>
  </si>
  <si>
    <t>TORRENT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</si>
</sst>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6DJU0thO6d/HuJXw/OIsZPXAz9emRttw7OUBVcJe4uCs6uzC3q4lRUejpR49UmMjHmgQeQnwemdHIFtVVDwuhg==" saltValue="3gg1Nt2P6RIgtidIlvn5J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COMUNIDAD VALENCIANA</v>
      </c>
      <c r="C2" s="374"/>
      <c r="D2" s="374"/>
      <c r="E2" s="374"/>
      <c r="F2" s="374"/>
    </row>
    <row r="3" spans="1:69" ht="19.5">
      <c r="A3" s="389" t="s">
        <v>115</v>
      </c>
      <c r="B3" s="390" t="str">
        <f>Criterios!A10 &amp;"  "&amp;Criterios!B10</f>
        <v>Provincias  VALENCIA</v>
      </c>
      <c r="D3" s="374"/>
      <c r="E3" s="374"/>
      <c r="F3" s="374"/>
      <c r="BQ3" s="470"/>
    </row>
    <row r="4" spans="1:69" ht="13.5" thickBot="1">
      <c r="A4" s="374"/>
      <c r="B4" s="390" t="str">
        <f>Criterios!A11 &amp;"  "&amp;Criterios!B11</f>
        <v>Resumenes por Partidos Judiciales  TORRENT</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6</v>
      </c>
      <c r="C9" s="402">
        <f>IF(ISNUMBER(IF(J_V="SI",Datos!I9,Datos!I9+Datos!Y9)),IF(J_V="SI",Datos!I9,Datos!I9+Datos!Y9)," - ")</f>
        <v>5192</v>
      </c>
      <c r="D9" s="403">
        <f>IF(ISNUMBER(C9/Datos!BH9),C9/Datos!BH9," - ")</f>
        <v>865.33333333333337</v>
      </c>
      <c r="E9" s="402">
        <f>IF(ISNUMBER(IF(J_V="SI",Datos!J9,Datos!J9+Datos!Z9)),IF(J_V="SI",Datos!J9,Datos!J9+Datos!Z9)," - ")</f>
        <v>1925</v>
      </c>
      <c r="F9" s="403">
        <f>IF(ISNUMBER(E9/B9),E9/B9," - ")</f>
        <v>320.83333333333331</v>
      </c>
      <c r="G9" s="402">
        <f>IF(ISNUMBER(IF(J_V="SI",Datos!K9,Datos!K9+Datos!AA9)),IF(J_V="SI",Datos!K9,Datos!K9+Datos!AA9)," - ")</f>
        <v>2345</v>
      </c>
      <c r="H9" s="403">
        <f>IF(ISNUMBER(G9/B9),G9/B9," - ")</f>
        <v>390.83333333333331</v>
      </c>
      <c r="I9" s="402">
        <f>IF(ISNUMBER(IF(J_V="SI",Datos!L9,Datos!L9+Datos!AB9)),IF(J_V="SI",Datos!L9,Datos!L9+Datos!AB9)," - ")</f>
        <v>4774</v>
      </c>
      <c r="J9" s="403">
        <f>IF(ISNUMBER(I9/B9),I9/B9," - ")</f>
        <v>795.66666666666663</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103</v>
      </c>
      <c r="D10" s="403">
        <f>IF(ISNUMBER(C10/Datos!BH10),C10/Datos!BH10," - ")</f>
        <v>103</v>
      </c>
      <c r="E10" s="402">
        <f>IF(ISNUMBER(Datos!J10),Datos!J10," - ")</f>
        <v>66</v>
      </c>
      <c r="F10" s="403">
        <f>IF(ISNUMBER(E10/B10),E10/B10," - ")</f>
        <v>66</v>
      </c>
      <c r="G10" s="402">
        <f>IF(ISNUMBER(Datos!K10),Datos!K10," - ")</f>
        <v>82</v>
      </c>
      <c r="H10" s="403">
        <f>IF(ISNUMBER(G10/B10),G10/B10," - ")</f>
        <v>82</v>
      </c>
      <c r="I10" s="402">
        <f>IF(ISNUMBER(Datos!L10),Datos!L10," - ")</f>
        <v>87</v>
      </c>
      <c r="J10" s="403">
        <f>IF(ISNUMBER(I10/B10),I10/B10," - ")</f>
        <v>87</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7</v>
      </c>
      <c r="C13" s="846">
        <f>SUBTOTAL(9,C8:C12)</f>
        <v>5295</v>
      </c>
      <c r="D13" s="847" t="str">
        <f>IF(ISNUMBER(C13/Datos!BI13),C13/Datos!BI13," - ")</f>
        <v xml:space="preserve"> - </v>
      </c>
      <c r="E13" s="846">
        <f>SUBTOTAL(9,E8:E12)</f>
        <v>1991</v>
      </c>
      <c r="F13" s="847">
        <f>IF(ISNUMBER(E13/B13),E13/B13," - ")</f>
        <v>284.42857142857144</v>
      </c>
      <c r="G13" s="846">
        <f>SUBTOTAL(9,G8:G12)</f>
        <v>2427</v>
      </c>
      <c r="H13" s="847">
        <f>IF(ISNUMBER(G13/B13),G13/B13," - ")</f>
        <v>346.71428571428572</v>
      </c>
      <c r="I13" s="846">
        <f>SUBTOTAL(9,I8:I12)</f>
        <v>4861</v>
      </c>
      <c r="J13" s="847">
        <f>IF(ISNUMBER(I13/B13),I13/B13," - ")</f>
        <v>694.42857142857144</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3</v>
      </c>
      <c r="C15" s="402">
        <f>IF(ISNUMBER(IF(D_I="SI",Datos!I15,Datos!I15+Datos!AC15)),IF(D_I="SI",Datos!I15,Datos!I15+Datos!AC15)," - ")</f>
        <v>2994</v>
      </c>
      <c r="D15" s="403">
        <f>IF(ISNUMBER(C15/Datos!BH15),C15/Datos!BH15," - ")</f>
        <v>998</v>
      </c>
      <c r="E15" s="402">
        <f>IF(ISNUMBER(IF(D_I="SI",Datos!J15,Datos!J15+Datos!AD15)),IF(D_I="SI",Datos!J15,Datos!J15+Datos!AD15)," - ")</f>
        <v>2179</v>
      </c>
      <c r="F15" s="403">
        <f>IF(ISNUMBER(E15/B15),E15/B15," - ")</f>
        <v>726.33333333333337</v>
      </c>
      <c r="G15" s="402">
        <f>IF(ISNUMBER(IF(D_I="SI",Datos!K15,Datos!K15+Datos!AE15)),IF(D_I="SI",Datos!K15,Datos!K15+Datos!AE15)," - ")</f>
        <v>2151</v>
      </c>
      <c r="H15" s="403">
        <f>IF(ISNUMBER(G15/B15),G15/B15," - ")</f>
        <v>717</v>
      </c>
      <c r="I15" s="402">
        <f>IF(ISNUMBER(IF(D_I="SI",Datos!L15,Datos!L15+Datos!AF15)),IF(D_I="SI",Datos!L15,Datos!L15+Datos!AF15)," - ")</f>
        <v>3053</v>
      </c>
      <c r="J15" s="403">
        <f>IF(ISNUMBER(I15/B15),I15/B15," - ")</f>
        <v>1017.6666666666666</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460</v>
      </c>
      <c r="D18" s="403">
        <f>IF(ISNUMBER(C18/Datos!BH18),C18/Datos!BH18," - ")</f>
        <v>460</v>
      </c>
      <c r="E18" s="402">
        <f>IF(ISNUMBER(IF(D_I="SI",Datos!J18,Datos!J18+Datos!AD18)),IF(D_I="SI",Datos!J18,Datos!J18+Datos!AD18)," - ")</f>
        <v>450</v>
      </c>
      <c r="F18" s="403">
        <f>IF(ISNUMBER(E18/B18),E18/B18," - ")</f>
        <v>450</v>
      </c>
      <c r="G18" s="402">
        <f>IF(ISNUMBER(IF(D_I="SI",Datos!K18,Datos!K18+Datos!AE18)),IF(D_I="SI",Datos!K18,Datos!K18+Datos!AE18)," - ")</f>
        <v>456</v>
      </c>
      <c r="H18" s="403">
        <f>IF(ISNUMBER(G18/B18),G18/B18," - ")</f>
        <v>456</v>
      </c>
      <c r="I18" s="402">
        <f>IF(ISNUMBER(IF(D_I="SI",Datos!L18,Datos!L18+Datos!AF18)),IF(D_I="SI",Datos!L18,Datos!L18+Datos!AF18)," - ")</f>
        <v>456</v>
      </c>
      <c r="J18" s="403">
        <f>IF(ISNUMBER(I18/B18),I18/B18," - ")</f>
        <v>456</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4</v>
      </c>
      <c r="C19" s="846">
        <f>SUBTOTAL(9,C14:C18)</f>
        <v>3454</v>
      </c>
      <c r="D19" s="847" t="str">
        <f>IF(ISNUMBER(C19/Datos!BI19),C19/Datos!BI19," - ")</f>
        <v xml:space="preserve"> - </v>
      </c>
      <c r="E19" s="846">
        <f>SUBTOTAL(9,E14:E18)</f>
        <v>2629</v>
      </c>
      <c r="F19" s="847">
        <f>IF(ISNUMBER(E19/B19),E19/B19," - ")</f>
        <v>657.25</v>
      </c>
      <c r="G19" s="846">
        <f>SUBTOTAL(9,G14:G18)</f>
        <v>2607</v>
      </c>
      <c r="H19" s="847">
        <f>IF(ISNUMBER(G19/B19),G19/B19," - ")</f>
        <v>651.75</v>
      </c>
      <c r="I19" s="846">
        <f>SUBTOTAL(9,I14:I18)</f>
        <v>3509</v>
      </c>
      <c r="J19" s="847">
        <f>IF(ISNUMBER(I19/B19),I19/B19," - ")</f>
        <v>877.25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10</v>
      </c>
      <c r="C20" s="791">
        <f>SUBTOTAL(9,C9:C19)</f>
        <v>8749</v>
      </c>
      <c r="D20" s="792" t="str">
        <f>IF(ISNUMBER(C20/Datos!BI20),C20/Datos!BI20," - ")</f>
        <v xml:space="preserve"> - </v>
      </c>
      <c r="E20" s="791">
        <f>SUBTOTAL(9,E9:E19)</f>
        <v>4620</v>
      </c>
      <c r="F20" s="792">
        <f>IF(ISNUMBER(E20/B20),E20/B20," - ")</f>
        <v>462</v>
      </c>
      <c r="G20" s="791">
        <f>SUBTOTAL(9,G9:G19)</f>
        <v>5034</v>
      </c>
      <c r="H20" s="792">
        <f>IF(ISNUMBER(G20/B20),G20/B20," - ")</f>
        <v>503.4</v>
      </c>
      <c r="I20" s="791">
        <f>SUBTOTAL(9,I9:I19)</f>
        <v>8370</v>
      </c>
      <c r="J20" s="792">
        <f>IF(ISNUMBER(I20/B20),I20/B20," - ")</f>
        <v>837</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88UUcEg33BTrezsy7MQsP5XYuUHxvO074iHNPp6fhbHAb46tawLnhGsF9Ik7YVndTrW803kXweERr6W1JNiRuw==" saltValue="vqkz+A+xt+Dtt8Jc63iOB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COMUNIDAD VALENCIANA</v>
      </c>
      <c r="C2" s="374"/>
      <c r="E2" s="374"/>
      <c r="F2" s="374"/>
      <c r="G2" s="374"/>
      <c r="H2" s="374"/>
    </row>
    <row r="3" spans="1:15" ht="39">
      <c r="A3" s="414" t="s">
        <v>219</v>
      </c>
      <c r="B3" s="390" t="str">
        <f>Criterios!A10 &amp;"  "&amp;Criterios!B10</f>
        <v>Provincias  VALENCIA</v>
      </c>
      <c r="C3" s="414"/>
      <c r="F3" s="374"/>
      <c r="G3" s="374"/>
      <c r="H3" s="374"/>
    </row>
    <row r="4" spans="1:15" ht="13.5" thickBot="1">
      <c r="A4" s="374"/>
      <c r="B4" s="390" t="str">
        <f>Criterios!A11 &amp;"  "&amp;Criterios!B11</f>
        <v>Resumenes por Partidos Judiciales  TORRENT</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6</v>
      </c>
      <c r="D9" s="402">
        <f>Datos!BK9</f>
        <v>0</v>
      </c>
      <c r="E9" s="402">
        <f>Datos!AQ9</f>
        <v>6</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3</v>
      </c>
      <c r="D15" s="402">
        <f>Datos!BK15</f>
        <v>0</v>
      </c>
      <c r="E15" s="402">
        <f>Datos!AQ15</f>
        <v>3</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pSRH/tT5GeluizrC6yfDUL2NucL+mYAF1RsqqbLK18O1gctAEIap4D3ci7KezS00nmdb0SFKn+4Sho7Q2fpzdQ==" saltValue="Mgw1KEMNgG09Mm0st1MXA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COMUNIDAD VALENCIANA</v>
      </c>
      <c r="C2" s="390"/>
    </row>
    <row r="3" spans="1:78" ht="19.5">
      <c r="A3" s="424" t="s">
        <v>11</v>
      </c>
      <c r="B3" s="390" t="str">
        <f>Criterios!A10 &amp;"  "&amp;Criterios!B10</f>
        <v>Provincias  VALENCIA</v>
      </c>
      <c r="C3" s="390"/>
      <c r="D3" s="424"/>
      <c r="BZ3" s="470"/>
    </row>
    <row r="4" spans="1:78" ht="13.5" thickBot="1">
      <c r="B4" s="390" t="str">
        <f>Criterios!A11 &amp;"  "&amp;Criterios!B11</f>
        <v>Resumenes por Partidos Judiciales  TORRENT</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6</v>
      </c>
      <c r="C9" s="409">
        <f>Datos!AQ9</f>
        <v>6</v>
      </c>
      <c r="D9" s="402">
        <f>IF(ISNUMBER(Datos!M9),Datos!M9," - ")</f>
        <v>583</v>
      </c>
      <c r="E9" s="403">
        <f t="shared" ref="E9:E13" si="0">IF(ISNUMBER(D9/B9),D9/B9," - ")</f>
        <v>97.166666666666671</v>
      </c>
      <c r="F9" s="402">
        <f>IF(ISNUMBER(Datos!N9),Datos!N9," - ")</f>
        <v>783</v>
      </c>
      <c r="G9" s="403">
        <f t="shared" ref="G9:G13" si="1">IF(ISNUMBER(F9/B9),F9/B9," - ")</f>
        <v>130.5</v>
      </c>
      <c r="H9" s="402">
        <f>IF(ISNUMBER(Datos!O9),Datos!O9," - ")</f>
        <v>1329</v>
      </c>
      <c r="I9" s="403">
        <f>IF(ISNUMBER(H9/B9),H9/B9," - ")</f>
        <v>221.5</v>
      </c>
      <c r="BZ9" s="1181">
        <f>Datos!EZ9</f>
        <v>0</v>
      </c>
    </row>
    <row r="10" spans="1:78">
      <c r="A10" s="401" t="str">
        <f>Datos!A10</f>
        <v>Sección De Violencia sobre la Mujer del TI</v>
      </c>
      <c r="B10" s="426">
        <f>Datos!AO10</f>
        <v>1</v>
      </c>
      <c r="C10" s="409">
        <f>Datos!AQ10</f>
        <v>1</v>
      </c>
      <c r="D10" s="402">
        <f>IF(ISNUMBER(Datos!M10),Datos!M10," - ")</f>
        <v>25</v>
      </c>
      <c r="E10" s="403">
        <f>IF(ISNUMBER(D10/B10),D10/B10," - ")</f>
        <v>25</v>
      </c>
      <c r="F10" s="402">
        <f>IF(ISNUMBER(Datos!N10),Datos!N10," - ")</f>
        <v>15</v>
      </c>
      <c r="G10" s="403">
        <f>IF(ISNUMBER(F10/B10),F10/B10," - ")</f>
        <v>15</v>
      </c>
      <c r="H10" s="402">
        <f>IF(ISNUMBER(Datos!O10),Datos!O10," - ")</f>
        <v>15</v>
      </c>
      <c r="I10" s="403">
        <f t="shared" ref="I10:I12" si="2">IF(ISNUMBER(H10/B10),H10/B10," - ")</f>
        <v>15</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7</v>
      </c>
      <c r="C13" s="848">
        <f>Datos!AR13</f>
        <v>7</v>
      </c>
      <c r="D13" s="846">
        <f>SUBTOTAL(9,D9:D12)</f>
        <v>608</v>
      </c>
      <c r="E13" s="847">
        <f t="shared" si="0"/>
        <v>86.857142857142861</v>
      </c>
      <c r="F13" s="846">
        <f>SUBTOTAL(9,F9:F12)</f>
        <v>798</v>
      </c>
      <c r="G13" s="847">
        <f t="shared" si="1"/>
        <v>114</v>
      </c>
      <c r="H13" s="846">
        <f>SUBTOTAL(9,H9:H12)</f>
        <v>1344</v>
      </c>
      <c r="I13" s="847">
        <f>IF(ISNUMBER(H13/B13),H13/B13," - ")</f>
        <v>192</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3</v>
      </c>
      <c r="C15" s="427">
        <f>Datos!AQ15</f>
        <v>3</v>
      </c>
      <c r="D15" s="402">
        <f>IF(ISNUMBER(Datos!M15),Datos!M15," - ")</f>
        <v>395</v>
      </c>
      <c r="E15" s="403">
        <f t="shared" ref="E15:E19" si="3">IF(ISNUMBER(D15/B15),D15/B15," - ")</f>
        <v>131.66666666666666</v>
      </c>
      <c r="F15" s="402">
        <f>IF(ISNUMBER(Datos!N15),Datos!N15," - ")</f>
        <v>1117</v>
      </c>
      <c r="G15" s="403">
        <f t="shared" ref="G15:G19" si="4">IF(ISNUMBER(F15/B15),F15/B15," - ")</f>
        <v>372.33333333333331</v>
      </c>
      <c r="H15" s="402">
        <f>IF(ISNUMBER(Datos!O15),Datos!O15," - ")</f>
        <v>72</v>
      </c>
      <c r="I15" s="403">
        <f t="shared" ref="I15:I18" si="5">IF(ISNUMBER(H15/B15),H15/B15," - ")</f>
        <v>24</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1</v>
      </c>
      <c r="C18" s="427">
        <f>Datos!AQ18</f>
        <v>1</v>
      </c>
      <c r="D18" s="402">
        <f>IF(ISNUMBER(Datos!M18),Datos!M18," - ")</f>
        <v>68</v>
      </c>
      <c r="E18" s="403">
        <f>IF(ISNUMBER(D18/B18),D18/B18," - ")</f>
        <v>68</v>
      </c>
      <c r="F18" s="402">
        <f>IF(ISNUMBER(Datos!N18),Datos!N18," - ")</f>
        <v>272</v>
      </c>
      <c r="G18" s="403">
        <f>IF(ISNUMBER(F18/B18),F18/B18," - ")</f>
        <v>272</v>
      </c>
      <c r="H18" s="402">
        <f>IF(ISNUMBER(Datos!O18),Datos!O18," - ")</f>
        <v>0</v>
      </c>
      <c r="I18" s="403">
        <f t="shared" si="5"/>
        <v>0</v>
      </c>
      <c r="BZ18" s="1181">
        <f>Datos!EZ18</f>
        <v>0</v>
      </c>
    </row>
    <row r="19" spans="1:78" ht="14.25" thickTop="1" thickBot="1">
      <c r="A19" s="845" t="str">
        <f>Datos!A19</f>
        <v>TOTAL</v>
      </c>
      <c r="B19" s="846">
        <f>Datos!AP19</f>
        <v>4</v>
      </c>
      <c r="C19" s="848">
        <f>Datos!AR19</f>
        <v>4</v>
      </c>
      <c r="D19" s="846">
        <f>SUBTOTAL(9,D15:D18)</f>
        <v>463</v>
      </c>
      <c r="E19" s="847">
        <f t="shared" si="3"/>
        <v>115.75</v>
      </c>
      <c r="F19" s="846">
        <f>SUBTOTAL(9,F15:F18)</f>
        <v>1389</v>
      </c>
      <c r="G19" s="847">
        <f t="shared" si="4"/>
        <v>347.25</v>
      </c>
      <c r="H19" s="846">
        <f>SUBTOTAL(9,H15:H18)</f>
        <v>72</v>
      </c>
      <c r="I19" s="847">
        <f>IF(ISNUMBER(H19/B19),H19/B19," - ")</f>
        <v>18</v>
      </c>
      <c r="BZ19" s="1181"/>
    </row>
    <row r="20" spans="1:78" ht="14.25" thickTop="1" thickBot="1">
      <c r="A20" s="790" t="str">
        <f>Datos!A20</f>
        <v>TOTAL JURISDICCIONES</v>
      </c>
      <c r="B20" s="791">
        <f>Datos!AP20</f>
        <v>10</v>
      </c>
      <c r="C20" s="791">
        <f>Datos!AR20</f>
        <v>10</v>
      </c>
      <c r="D20" s="791">
        <f>SUBTOTAL(9,D8:D19)</f>
        <v>1071</v>
      </c>
      <c r="E20" s="792">
        <f>IF(ISNUMBER(D20/B20),D20/B20," - ")</f>
        <v>107.1</v>
      </c>
      <c r="F20" s="791">
        <f>SUBTOTAL(9,F8:F19)</f>
        <v>2187</v>
      </c>
      <c r="G20" s="792">
        <f>IF(ISNUMBER(F20/B20),F20/B20," - ")</f>
        <v>218.7</v>
      </c>
      <c r="H20" s="791">
        <f>SUBTOTAL(9,H8:H19)</f>
        <v>1416</v>
      </c>
      <c r="I20" s="792">
        <f>IF(ISNUMBER(H20/B20),H20/B20," - ")</f>
        <v>141.6</v>
      </c>
    </row>
    <row r="23" spans="1:78">
      <c r="A23" s="390" t="str">
        <f>Criterios!A4</f>
        <v>Fecha Informe: 06 oct. 2026</v>
      </c>
    </row>
    <row r="28" spans="1:78">
      <c r="A28" s="413"/>
    </row>
  </sheetData>
  <sheetProtection algorithmName="SHA-512" hashValue="ItRyCY4uzZGNhnLJc+7EOgYMYxVcrMDu3H68TgwVGVPgWZA4WIXD/EC35U09biOMCXAKHx4JxJNwfjJDkuEDIg==" saltValue="3j7bwVha9iJZhGL8Feld4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COMUNIDAD VALENCIANA</v>
      </c>
    </row>
    <row r="3" spans="1:4" ht="19.5">
      <c r="A3" s="428" t="s">
        <v>32</v>
      </c>
      <c r="B3" s="390" t="str">
        <f>Criterios!A10 &amp;"  "&amp;Criterios!B10</f>
        <v>Provincias  VALENCIA</v>
      </c>
    </row>
    <row r="4" spans="1:4" ht="13.5" thickBot="1">
      <c r="B4" s="390" t="str">
        <f>Criterios!A11 &amp;"  "&amp;Criterios!B11</f>
        <v>Resumenes por Partidos Judiciales  TORRENT</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1286</v>
      </c>
      <c r="C9" s="433">
        <f>IF(ISNUMBER(Datos!Q9),Datos!Q9," - ")</f>
        <v>632</v>
      </c>
      <c r="D9" s="407">
        <f>IF(ISNUMBER(Datos!R9),Datos!R9," - ")</f>
        <v>11193</v>
      </c>
    </row>
    <row r="10" spans="1:4">
      <c r="A10" s="401" t="str">
        <f>Datos!A10</f>
        <v>Sección De Violencia sobre la Mujer del TI</v>
      </c>
      <c r="B10" s="432">
        <f>IF(ISNUMBER(Datos!P10),Datos!P10," - ")</f>
        <v>11</v>
      </c>
      <c r="C10" s="433">
        <f>IF(ISNUMBER(Datos!Q10),Datos!Q10," - ")</f>
        <v>4</v>
      </c>
      <c r="D10" s="407">
        <f>IF(ISNUMBER(Datos!R10),Datos!R10," - ")</f>
        <v>112</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1297</v>
      </c>
      <c r="C13" s="850">
        <f>SUBTOTAL(9,C9:C12)</f>
        <v>636</v>
      </c>
      <c r="D13" s="848">
        <f>SUBTOTAL(9,D9:D12)</f>
        <v>11305</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129</v>
      </c>
      <c r="C15" s="433">
        <f>IF(ISNUMBER(Datos!Q15),Datos!Q15," - ")</f>
        <v>131</v>
      </c>
      <c r="D15" s="407">
        <f>IF(ISNUMBER(Datos!R15),Datos!R15," - ")</f>
        <v>344</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14</v>
      </c>
      <c r="C18" s="433">
        <f>IF(ISNUMBER(Datos!Q18),Datos!Q18," - ")</f>
        <v>19</v>
      </c>
      <c r="D18" s="407">
        <f>IF(ISNUMBER(Datos!R18),Datos!R18," - ")</f>
        <v>10</v>
      </c>
    </row>
    <row r="19" spans="1:4" ht="14.25" thickTop="1" thickBot="1">
      <c r="A19" s="845" t="str">
        <f>Datos!A19</f>
        <v>TOTAL</v>
      </c>
      <c r="B19" s="846">
        <f>SUBTOTAL(9,B15:B18)</f>
        <v>143</v>
      </c>
      <c r="C19" s="850">
        <f>SUBTOTAL(9,C15:C18)</f>
        <v>150</v>
      </c>
      <c r="D19" s="848">
        <f>SUBTOTAL(9,D15:D18)</f>
        <v>354</v>
      </c>
    </row>
    <row r="20" spans="1:4" ht="16.5" customHeight="1" thickTop="1" thickBot="1">
      <c r="A20" s="790" t="str">
        <f>Datos!A20</f>
        <v>TOTAL JURISDICCIONES</v>
      </c>
      <c r="B20" s="795">
        <f>SUBTOTAL(9,B8:B19)</f>
        <v>1440</v>
      </c>
      <c r="C20" s="796">
        <f>SUBTOTAL(9,C8:C19)</f>
        <v>786</v>
      </c>
      <c r="D20" s="797">
        <f>SUBTOTAL(9,D8:D19)</f>
        <v>11659</v>
      </c>
    </row>
    <row r="21" spans="1:4" ht="7.5" customHeight="1"/>
    <row r="22" spans="1:4" ht="6" customHeight="1"/>
    <row r="23" spans="1:4">
      <c r="A23" s="390" t="str">
        <f>Criterios!A4</f>
        <v>Fecha Informe: 06 oct. 2026</v>
      </c>
    </row>
    <row r="28" spans="1:4">
      <c r="A28" s="413"/>
    </row>
  </sheetData>
  <sheetProtection algorithmName="SHA-512" hashValue="kLR+pdOsbxfh1JqDUgx5ibadxz5Wi8mmsKyROx0RKlb1jJgQcpo83JnXjBzs/Qg6vyiCeMmbGy7okbumJtZNlg==" saltValue="ETjhHc4bDD6D3tl7CcUVY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COMUNIDAD VALENCIANA</v>
      </c>
    </row>
    <row r="3" spans="1:11" ht="18.75" customHeight="1">
      <c r="A3" s="428" t="s">
        <v>118</v>
      </c>
      <c r="B3" s="390" t="str">
        <f>Criterios!A10 &amp;"  "&amp;Criterios!B10</f>
        <v>Provincias  VALENCIA</v>
      </c>
    </row>
    <row r="4" spans="1:11" ht="10.5" customHeight="1" thickBot="1">
      <c r="B4" s="390" t="str">
        <f>Criterios!A11 &amp;"  "&amp;Criterios!B11</f>
        <v>Resumenes por Partidos Judiciales  TORRENT</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-0.16325543916196616</v>
      </c>
      <c r="C9" s="455">
        <f>IF(ISNUMBER(
   IF(J_V="SI",(Datos!J9-Datos!T9)/Datos!T9,(Datos!J9+Datos!Z9-(Datos!T9+Datos!AH9))/(Datos!T9+Datos!AH9))
     ),IF(J_V="SI",(Datos!J9-Datos!T9)/Datos!T9,(Datos!J9+Datos!Z9-(Datos!T9+Datos!AH9))/(Datos!T9+Datos!AH9))," - ")</f>
        <v>-0.25531914893617019</v>
      </c>
      <c r="D9" s="455">
        <f>IF(ISNUMBER(
   IF(J_V="SI",(Datos!K9-Datos!U9)/Datos!U9,(Datos!K9+Datos!AA9-(Datos!U9+Datos!AI9))/(Datos!U9+Datos!AI9))
     ),IF(J_V="SI",(Datos!K9-Datos!U9)/Datos!U9,(Datos!K9+Datos!AA9-(Datos!U9+Datos!AI9))/(Datos!U9+Datos!AI9))," - ")</f>
        <v>-0.21017177500842035</v>
      </c>
      <c r="E9" s="455">
        <f>IF(ISNUMBER(
   IF(J_V="SI",(Datos!L9-Datos!V9)/Datos!V9,(Datos!L9+Datos!AB9-(Datos!V9+Datos!AJ9))/(Datos!V9+Datos!AJ9))
     ),IF(J_V="SI",(Datos!L9-Datos!V9)/Datos!V9,(Datos!L9+Datos!AB9-(Datos!V9+Datos!AJ9))/(Datos!V9+Datos!AJ9))," - ")</f>
        <v>-0.17986600240508505</v>
      </c>
      <c r="F9" s="455">
        <f>IF(ISNUMBER((Datos!M9-Datos!W9)/Datos!W9),(Datos!M9-Datos!W9)/Datos!W9," - ")</f>
        <v>3.0035335689045935E-2</v>
      </c>
      <c r="G9" s="456">
        <f>IF(ISNUMBER((Datos!N9-Datos!X9)/Datos!X9),(Datos!N9-Datos!X9)/Datos!X9," - ")</f>
        <v>-0.48722986247544203</v>
      </c>
      <c r="H9" s="454">
        <f>IF(ISNUMBER(((NºAsuntos!G9/NºAsuntos!E9)-Datos!BD9)/Datos!BD9),((NºAsuntos!G9/NºAsuntos!E9)-Datos!BD9)/Datos!BD9," - ")</f>
        <v>6.0626473560121248E-2</v>
      </c>
      <c r="I9" s="455">
        <f>IF(ISNUMBER(((NºAsuntos!I9/NºAsuntos!G9)-Datos!BE9)/Datos!BE9),((NºAsuntos!I9/NºAsuntos!G9)-Datos!BE9)/Datos!BE9," - ")</f>
        <v>3.837008053701596E-2</v>
      </c>
      <c r="J9" s="460">
        <f>IF(ISNUMBER((('Resol  Asuntos'!D9/NºAsuntos!G9)-Datos!BF9)/Datos!BF9),(('Resol  Asuntos'!D9/NºAsuntos!G9)-Datos!BF9)/Datos!BF9," - ")</f>
        <v>-0.51661088327657256</v>
      </c>
      <c r="K9" s="461">
        <f>IF(ISNUMBER((((NºAsuntos!C9+NºAsuntos!E9)/NºAsuntos!G9)-Datos!BG9)/Datos!BG9),(((NºAsuntos!C9+NºAsuntos!E9)/NºAsuntos!G9)-Datos!BG9)/Datos!BG9," - ")</f>
        <v>2.5121734089183587E-2</v>
      </c>
    </row>
    <row r="10" spans="1:11" ht="21">
      <c r="A10" s="401" t="str">
        <f>Datos!A10</f>
        <v>Sección De Violencia sobre la Mujer del TI</v>
      </c>
      <c r="B10" s="454">
        <f>IF(ISNUMBER((Datos!I10-Datos!S10)/Datos!S10),(Datos!I10-Datos!S10)/Datos!S10," - ")</f>
        <v>0</v>
      </c>
      <c r="C10" s="455">
        <f>IF(ISNUMBER((Datos!J10-Datos!T10)/Datos!T10),(Datos!J10-Datos!T10)/Datos!T10," - ")</f>
        <v>6.4516129032258063E-2</v>
      </c>
      <c r="D10" s="455">
        <f>IF(ISNUMBER((Datos!K10-Datos!U10)/Datos!U10),(Datos!K10-Datos!U10)/Datos!U10," - ")</f>
        <v>0.10810810810810811</v>
      </c>
      <c r="E10" s="455">
        <f>IF(ISNUMBER((Datos!L10-Datos!V10)/Datos!V10),(Datos!L10-Datos!V10)/Datos!V10," - ")</f>
        <v>-4.3956043956043959E-2</v>
      </c>
      <c r="F10" s="455">
        <f>IF(ISNUMBER((Datos!M10-Datos!W10)/Datos!W10),(Datos!M10-Datos!W10)/Datos!W10," - ")</f>
        <v>-0.24242424242424243</v>
      </c>
      <c r="G10" s="456">
        <f>IF(ISNUMBER((Datos!N10-Datos!X10)/Datos!X10),(Datos!N10-Datos!X10)/Datos!X10," - ")</f>
        <v>-0.42307692307692307</v>
      </c>
      <c r="H10" s="454">
        <f>IF(ISNUMBER(((NºAsuntos!G10/NºAsuntos!E10)-Datos!BD10)/Datos!BD10),((NºAsuntos!G10/NºAsuntos!E10)-Datos!BD10)/Datos!BD10," - ")</f>
        <v>4.0950040950040914E-2</v>
      </c>
      <c r="I10" s="455">
        <f>IF(ISNUMBER(((NºAsuntos!I10/NºAsuntos!G10)-Datos!BE10)/Datos!BE10),((NºAsuntos!I10/NºAsuntos!G10)-Datos!BE10)/Datos!BE10," - ")</f>
        <v>-0.13722862503350311</v>
      </c>
      <c r="J10" s="460">
        <f>IF(ISNUMBER((('Resol  Asuntos'!D10/NºAsuntos!G10)-Datos!BF10)/Datos!BF10),(('Resol  Asuntos'!D10/NºAsuntos!G10)-Datos!BF10)/Datos!BF10," - ")</f>
        <v>-0.31633407243163342</v>
      </c>
      <c r="K10" s="461">
        <f>IF(ISNUMBER((((NºAsuntos!C10+NºAsuntos!E10)/NºAsuntos!G10)-Datos!BG10)/Datos!BG10),(((NºAsuntos!C10+NºAsuntos!E10)/NºAsuntos!G10)-Datos!BG10)/Datos!BG10," - ")</f>
        <v>-7.568366592756838E-2</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-0.16058972733037413</v>
      </c>
      <c r="C13" s="852">
        <f>IF(ISNUMBER(
   IF(J_V="SI",(Datos!J13-Datos!T13)/Datos!T13,(Datos!J13+Datos!Z13-(Datos!T13+Datos!AH13))/(Datos!T13+Datos!AH13))
     ),IF(J_V="SI",(Datos!J13-Datos!T13)/Datos!T13,(Datos!J13+Datos!Z13-(Datos!T13+Datos!AH13))/(Datos!T13+Datos!AH13))," - ")</f>
        <v>-0.24782772950510012</v>
      </c>
      <c r="D13" s="852">
        <f>IF(ISNUMBER(
   IF(J_V="SI",(Datos!K13-Datos!U13)/Datos!U13,(Datos!K13+Datos!AA13-(Datos!U13+Datos!AI13))/(Datos!U13+Datos!AI13))
     ),IF(J_V="SI",(Datos!K13-Datos!U13)/Datos!U13,(Datos!K13+Datos!AA13-(Datos!U13+Datos!AI13))/(Datos!U13+Datos!AI13))," - ")</f>
        <v>-0.20243181071311206</v>
      </c>
      <c r="E13" s="852">
        <f>IF(ISNUMBER(
   IF(J_V="SI",(Datos!L13-Datos!V13)/Datos!V13,(Datos!L13+Datos!AB13-(Datos!V13+Datos!AJ13))/(Datos!V13+Datos!AJ13))
     ),IF(J_V="SI",(Datos!L13-Datos!V13)/Datos!V13,(Datos!L13+Datos!AB13-(Datos!V13+Datos!AJ13))/(Datos!V13+Datos!AJ13))," - ")</f>
        <v>-0.17777401894451961</v>
      </c>
      <c r="F13" s="853">
        <f>IF(ISNUMBER((Datos!M13-Datos!W13)/Datos!W13),(Datos!M13-Datos!W13)/Datos!W13," - ")</f>
        <v>1.5025041736227046E-2</v>
      </c>
      <c r="G13" s="854">
        <f>IF(ISNUMBER((Datos!N13-Datos!X13)/Datos!X13),(Datos!N13-Datos!X13)/Datos!X13," - ")</f>
        <v>-0.48615582743077912</v>
      </c>
      <c r="H13" s="854">
        <f>IF(ISNUMBER(((NºAsuntos!G13/NºAsuntos!E13)-Datos!BD13)/Datos!BD13),((NºAsuntos!G13/NºAsuntos!E13)-Datos!BD13)/Datos!BD13," - ")</f>
        <v>6.0353087414561739E-2</v>
      </c>
      <c r="I13" s="854">
        <f>IF(ISNUMBER(((NºAsuntos!I13/NºAsuntos!G13)-Datos!BE13)/Datos!BE13),((NºAsuntos!I13/NºAsuntos!G13)-Datos!BE13)/Datos!BE13," - ")</f>
        <v>3.091621769749766E-2</v>
      </c>
      <c r="J13" s="854">
        <f>IF(ISNUMBER((('Resol  Asuntos'!D13/NºAsuntos!G13)-Datos!BF13)/Datos!BF13),(('Resol  Asuntos'!D13/NºAsuntos!G13)-Datos!BF13)/Datos!BF13," - ")</f>
        <v>-0.51133508710764586</v>
      </c>
      <c r="K13" s="854">
        <f>IF(ISNUMBER((((NºAsuntos!C13+NºAsuntos!E13)/NºAsuntos!G13)-Datos!BG13)/Datos!BG13),(((NºAsuntos!C13+NºAsuntos!E13)/NºAsuntos!G13)-Datos!BG13)/Datos!BG13," - ")</f>
        <v>2.0130547900423283E-2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0.11716417910447761</v>
      </c>
      <c r="C15" s="455">
        <f>IF(ISNUMBER(
   IF(D_I="SI",(Datos!J15-Datos!T15)/Datos!T15,(Datos!J15+Datos!AD15-(Datos!T15+Datos!AL15))/(Datos!T15+Datos!AL15))
     ),IF(D_I="SI",(Datos!J15-Datos!T15)/Datos!T15,(Datos!J15+Datos!AD15-(Datos!T15+Datos!AL15))/(Datos!T15+Datos!AL15))," - ")</f>
        <v>3.1723484848484848E-2</v>
      </c>
      <c r="D15" s="455">
        <f>IF(ISNUMBER(
   IF(D_I="SI",(Datos!K15-Datos!U15)/Datos!U15,(Datos!K15+Datos!AE15-(Datos!U15+Datos!AM15))/(Datos!U15+Datos!AM15))
     ),IF(D_I="SI",(Datos!K15-Datos!U15)/Datos!U15,(Datos!K15+Datos!AE15-(Datos!U15+Datos!AM15))/(Datos!U15+Datos!AM15))," - ")</f>
        <v>5.7002457002456999E-2</v>
      </c>
      <c r="E15" s="455">
        <f>IF(ISNUMBER(
   IF(D_I="SI",(Datos!L15-Datos!V15)/Datos!V15,(Datos!L15+Datos!AF15-(Datos!V15+Datos!AN15))/(Datos!V15+Datos!AN15))
     ),IF(D_I="SI",(Datos!L15-Datos!V15)/Datos!V15,(Datos!L15+Datos!AF15-(Datos!V15+Datos!AN15))/(Datos!V15+Datos!AN15))," - ")</f>
        <v>9.5836324479540561E-2</v>
      </c>
      <c r="F15" s="455">
        <f>IF(ISNUMBER((Datos!M15-Datos!W15)/Datos!W15),(Datos!M15-Datos!W15)/Datos!W15," - ")</f>
        <v>2.0671834625322998E-2</v>
      </c>
      <c r="G15" s="456">
        <f>IF(ISNUMBER((Datos!N15-Datos!X15)/Datos!X15),(Datos!N15-Datos!X15)/Datos!X15," - ")</f>
        <v>0.33932853717026379</v>
      </c>
      <c r="H15" s="454">
        <f>IF(ISNUMBER(((NºAsuntos!G15/NºAsuntos!E15)-Datos!BD15)/Datos!BD15),((NºAsuntos!G15/NºAsuntos!E15)-Datos!BD15)/Datos!BD15," - ")</f>
        <v>2.4501693065254421E-2</v>
      </c>
      <c r="I15" s="455">
        <f>IF(ISNUMBER(((NºAsuntos!I15/NºAsuntos!G15)-Datos!BE15)/Datos!BE15),((NºAsuntos!I15/NºAsuntos!G15)-Datos!BE15)/Datos!BE15," - ")</f>
        <v>3.6739618928807512E-2</v>
      </c>
      <c r="J15" s="460">
        <f>IF(ISNUMBER((('Resol  Asuntos'!D15/NºAsuntos!G15)-Datos!BF15)/Datos!BF15),(('Resol  Asuntos'!D15/NºAsuntos!G15)-Datos!BF15)/Datos!BF15," - ")</f>
        <v>-3.4371369845405841E-2</v>
      </c>
      <c r="K15" s="461">
        <f>IF(ISNUMBER((((NºAsuntos!C15+NºAsuntos!E15)/NºAsuntos!G15)-Datos!BG15)/Datos!BG15),(((NºAsuntos!C15+NºAsuntos!E15)/NºAsuntos!G15)-Datos!BG15)/Datos!BG15," - ")</f>
        <v>2.1291393761025953E-2</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0.30681818181818182</v>
      </c>
      <c r="C18" s="455">
        <f>IF(ISNUMBER(
   IF(D_I="SI",(Datos!J18-Datos!T18)/Datos!T18,(Datos!J18+Datos!AD18-(Datos!T18+Datos!AL18))/(Datos!T18+Datos!AL18))
     ),IF(D_I="SI",(Datos!J18-Datos!T18)/Datos!T18,(Datos!J18+Datos!AD18-(Datos!T18+Datos!AL18))/(Datos!T18+Datos!AL18))," - ")</f>
        <v>4.6511627906976744E-2</v>
      </c>
      <c r="D18" s="455">
        <f>IF(ISNUMBER(
   IF(D_I="SI",(Datos!K18-Datos!U18)/Datos!U18,(Datos!K18+Datos!AE18-(Datos!U18+Datos!AM18))/(Datos!U18+Datos!AM18))
     ),IF(D_I="SI",(Datos!K18-Datos!U18)/Datos!U18,(Datos!K18+Datos!AE18-(Datos!U18+Datos!AM18))/(Datos!U18+Datos!AM18))," - ")</f>
        <v>0.10948905109489052</v>
      </c>
      <c r="E18" s="455">
        <f>IF(ISNUMBER(
   IF(D_I="SI",(Datos!L18-Datos!V18)/Datos!V18,(Datos!L18+Datos!AF18-(Datos!V18+Datos!AN18))/(Datos!V18+Datos!AN18))
     ),IF(D_I="SI",(Datos!L18-Datos!V18)/Datos!V18,(Datos!L18+Datos!AF18-(Datos!V18+Datos!AN18))/(Datos!V18+Datos!AN18))," - ")</f>
        <v>0.22911051212938005</v>
      </c>
      <c r="F18" s="455">
        <f>IF(ISNUMBER((Datos!M18-Datos!W18)/Datos!W18),(Datos!M18-Datos!W18)/Datos!W18," - ")</f>
        <v>-0.13924050632911392</v>
      </c>
      <c r="G18" s="456">
        <f>IF(ISNUMBER((Datos!N18-Datos!X18)/Datos!X18),(Datos!N18-Datos!X18)/Datos!X18," - ")</f>
        <v>0.86301369863013699</v>
      </c>
      <c r="H18" s="454">
        <f>IF(ISNUMBER(((NºAsuntos!G18/NºAsuntos!E18)-Datos!BD18)/Datos!BD18),((NºAsuntos!G18/NºAsuntos!E18)-Datos!BD18)/Datos!BD18," - ")</f>
        <v>6.0178426601784393E-2</v>
      </c>
      <c r="I18" s="455">
        <f>IF(ISNUMBER(((NºAsuntos!I18/NºAsuntos!G18)-Datos!BE18)/Datos!BE18),((NºAsuntos!I18/NºAsuntos!G18)-Datos!BE18)/Datos!BE18," - ")</f>
        <v>0.10781671159029649</v>
      </c>
      <c r="J18" s="460">
        <f>IF(ISNUMBER((('Resol  Asuntos'!D18/NºAsuntos!G18)-Datos!BF18)/Datos!BF18),(('Resol  Asuntos'!D18/NºAsuntos!G18)-Datos!BF18)/Datos!BF18," - ")</f>
        <v>-0.22418387741505663</v>
      </c>
      <c r="K18" s="461">
        <f>IF(ISNUMBER((((NºAsuntos!C18+NºAsuntos!E18)/NºAsuntos!G18)-Datos!BG18)/Datos!BG18),(((NºAsuntos!C18+NºAsuntos!E18)/NºAsuntos!G18)-Datos!BG18)/Datos!BG18," - ")</f>
        <v>4.8845739668865365E-2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0.1391820580474934</v>
      </c>
      <c r="C19" s="852">
        <f>IF(ISNUMBER(
   IF(Criterios!B14="SI",(Datos!J19-Datos!T19)/Datos!T19,(Datos!J19+Datos!AD19-(Datos!T19+Datos!AL19))/(Datos!T19+Datos!AL19))
     ),IF(Criterios!B14="SI",(Datos!J19-Datos!T19)/Datos!T19,(Datos!J19+Datos!AD19-(Datos!T19+Datos!AL19))/(Datos!T19+Datos!AL19))," - ")</f>
        <v>3.4225019669551535E-2</v>
      </c>
      <c r="D19" s="852">
        <f>IF(ISNUMBER(
   IF(Criterios!B14="SI",(Datos!K19-Datos!U19)/Datos!U19,(Datos!K19+Datos!AE19-(Datos!U19+Datos!AM19))/(Datos!U19+Datos!AM19))
     ),IF(Criterios!B14="SI",(Datos!K19-Datos!U19)/Datos!U19,(Datos!K19+Datos!AE19-(Datos!U19+Datos!AM19))/(Datos!U19+Datos!AM19))," - ")</f>
        <v>6.5821749795584625E-2</v>
      </c>
      <c r="E19" s="852">
        <f>IF(ISNUMBER(
   IF(Criterios!B14="SI",(Datos!L19-Datos!V19)/Datos!V19,(Datos!L19+Datos!AF19-(Datos!V19+Datos!AN19))/(Datos!V19+Datos!AN19))
     ),IF(Criterios!B14="SI",(Datos!L19-Datos!V19)/Datos!V19,(Datos!L19+Datos!AF19-(Datos!V19+Datos!AN19))/(Datos!V19+Datos!AN19))," - ")</f>
        <v>0.11149825783972125</v>
      </c>
      <c r="F19" s="853">
        <f>IF(ISNUMBER((Datos!M19-Datos!W19)/Datos!W19),(Datos!M19-Datos!W19)/Datos!W19," - ")</f>
        <v>-6.4377682403433476E-3</v>
      </c>
      <c r="G19" s="854">
        <f>IF(ISNUMBER((Datos!N19-Datos!X19)/Datos!X19),(Datos!N19-Datos!X19)/Datos!X19," - ")</f>
        <v>0.41734693877551021</v>
      </c>
      <c r="H19" s="854">
        <f>IF(ISNUMBER(((NºAsuntos!G19/NºAsuntos!E19)-Datos!BD19)/Datos!BD19),((NºAsuntos!G19/NºAsuntos!E19)-Datos!BD19)/Datos!BD19," - ")</f>
        <v>3.0551117527720027E-2</v>
      </c>
      <c r="I19" s="854">
        <f>IF(ISNUMBER(((NºAsuntos!I19/NºAsuntos!G19)-Datos!BE19)/Datos!BE19),((NºAsuntos!I19/NºAsuntos!G19)-Datos!BE19)/Datos!BE19," - ")</f>
        <v>4.2855672679692348E-2</v>
      </c>
      <c r="J19" s="854">
        <f>IF(ISNUMBER((('Resol  Asuntos'!D19/NºAsuntos!G19)-Datos!BF19)/Datos!BF19),(('Resol  Asuntos'!D19/NºAsuntos!G19)-Datos!BF19)/Datos!BF19," - ")</f>
        <v>-6.7797000811614772E-2</v>
      </c>
      <c r="K19" s="854">
        <f>IF(ISNUMBER((((NºAsuntos!C19+NºAsuntos!E19)/NºAsuntos!G19)-Datos!BG19)/Datos!BG19),(((NºAsuntos!C19+NºAsuntos!E19)/NºAsuntos!G19)-Datos!BG19)/Datos!BG19," - ")</f>
        <v>2.3920583662241417E-2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-6.3276231263383304E-2</v>
      </c>
      <c r="C20" s="799">
        <f>IF(ISNUMBER(
   IF(J_V="SI",(Datos!J20-Datos!T20)/Datos!T20,(Datos!J20+Datos!Z20-(Datos!T20+Datos!AH20))/(Datos!T20+Datos!AH20))
     ),IF(J_V="SI",(Datos!J20-Datos!T20)/Datos!T20,(Datos!J20+Datos!Z20-(Datos!T20+Datos!AH20))/(Datos!T20+Datos!AH20))," - ")</f>
        <v>-0.10965503950664868</v>
      </c>
      <c r="D20" s="799">
        <f>IF(ISNUMBER(
   IF(J_V="SI",(Datos!K20-Datos!U20)/Datos!U20,(Datos!K20+Datos!AA20-(Datos!U20+Datos!AI20))/(Datos!U20+Datos!AI20))
     ),IF(J_V="SI",(Datos!K20-Datos!U20)/Datos!U20,(Datos!K20+Datos!AA20-(Datos!U20+Datos!AI20))/(Datos!U20+Datos!AI20))," - ")</f>
        <v>-8.2893058844962647E-2</v>
      </c>
      <c r="E20" s="799">
        <f>IF(ISNUMBER(
   IF(J_V="SI",(Datos!L20-Datos!V20)/Datos!V20,(Datos!L20+Datos!AB20-(Datos!V20+Datos!AJ20))/(Datos!V20+Datos!AJ20))
     ),IF(J_V="SI",(Datos!L20-Datos!V20)/Datos!V20,(Datos!L20+Datos!AB20-(Datos!V20+Datos!AJ20))/(Datos!V20+Datos!AJ20))," - ")</f>
        <v>-7.7075752563678462E-2</v>
      </c>
      <c r="F20" s="800">
        <f>IF(ISNUMBER((Datos!M20-Datos!W20)/Datos!W20),(Datos!M20-Datos!W20)/Datos!W20," - ")</f>
        <v>5.6338028169014088E-3</v>
      </c>
      <c r="G20" s="801">
        <f>IF(ISNUMBER((Datos!N20-Datos!X20)/Datos!X20),(Datos!N20-Datos!X20)/Datos!X20," - ")</f>
        <v>-0.1365969206474536</v>
      </c>
      <c r="H20" s="802">
        <f>IF(ISNUMBER((Tasas!B20-Datos!BD20)/Datos!BD20),(Tasas!B20-Datos!BD20)/Datos!BD20," - ")</f>
        <v>3.0057990834088524E-2</v>
      </c>
      <c r="I20" s="803">
        <f>IF(ISNUMBER((Tasas!C20-Datos!BE20)/Datos!BE20),(Tasas!C20-Datos!BE20)/Datos!BE20," - ")</f>
        <v>6.3431057167200626E-3</v>
      </c>
      <c r="J20" s="804">
        <f>IF(ISNUMBER((Tasas!D20-Datos!BF20)/Datos!BF20),(Tasas!D20-Datos!BF20)/Datos!BF20," - ")</f>
        <v>-0.42359193417632751</v>
      </c>
      <c r="K20" s="804">
        <f>IF(ISNUMBER((Tasas!E20-Datos!BG20)/Datos!BG20),(Tasas!E20-Datos!BG20)/Datos!BG20," - ")</f>
        <v>3.3286625001884861E-3</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wCMANHhpTFT9/5Bk1PmAG+tefS/VF23ZV/d3amVmCKNsRTAwJyVgB0TmVyfEFDpQqAH8InHitf+2q4J9FY9Rcw==" saltValue="wZf/X0lwRsNNkMvBFr38L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COMUNIDAD VALENCIANA</v>
      </c>
    </row>
    <row r="3" spans="1:7" ht="19.5">
      <c r="A3" s="435" t="s">
        <v>12</v>
      </c>
      <c r="B3" s="390" t="str">
        <f>Criterios!A10 &amp;"  "&amp;Criterios!B10</f>
        <v>Provincias  VALENCIA</v>
      </c>
    </row>
    <row r="4" spans="1:7" ht="11.25" customHeight="1" thickBot="1">
      <c r="B4" s="390" t="str">
        <f>Criterios!A11 &amp;"  "&amp;Criterios!B11</f>
        <v>Resumenes por Partidos Judiciales  TORRENT</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1.2181818181818183</v>
      </c>
      <c r="C9" s="442">
        <f>IF(ISNUMBER(NºAsuntos!I9/NºAsuntos!G9),NºAsuntos!I9/NºAsuntos!G9," - ")</f>
        <v>2.035820895522388</v>
      </c>
      <c r="D9" s="443">
        <f>IF(ISNUMBER('Resol  Asuntos'!D9/NºAsuntos!G9),'Resol  Asuntos'!D9/NºAsuntos!G9," - ")</f>
        <v>0.24861407249466952</v>
      </c>
      <c r="E9" s="444">
        <f>IF(ISNUMBER((NºAsuntos!C9+NºAsuntos!E9)/NºAsuntos!G9),(NºAsuntos!C9+NºAsuntos!E9)/NºAsuntos!G9," - ")</f>
        <v>3.0349680170575692</v>
      </c>
      <c r="G9" s="462"/>
    </row>
    <row r="10" spans="1:7" ht="21">
      <c r="A10" s="401" t="str">
        <f>Datos!A10</f>
        <v>Sección De Violencia sobre la Mujer del TI</v>
      </c>
      <c r="B10" s="441">
        <f>IF(ISNUMBER(NºAsuntos!G10/NºAsuntos!E10),NºAsuntos!G10/NºAsuntos!E10," - ")</f>
        <v>1.2424242424242424</v>
      </c>
      <c r="C10" s="442">
        <f>IF(ISNUMBER(NºAsuntos!I10/NºAsuntos!G10),NºAsuntos!I10/NºAsuntos!G10," - ")</f>
        <v>1.0609756097560976</v>
      </c>
      <c r="D10" s="443">
        <f>IF(ISNUMBER('Resol  Asuntos'!D10/NºAsuntos!G10),'Resol  Asuntos'!D10/NºAsuntos!G10," - ")</f>
        <v>0.3048780487804878</v>
      </c>
      <c r="E10" s="444">
        <f>IF(ISNUMBER((NºAsuntos!C10+NºAsuntos!E10)/NºAsuntos!G10),(NºAsuntos!C10+NºAsuntos!E10)/NºAsuntos!G10," - ")</f>
        <v>2.0609756097560976</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1.2189854344550477</v>
      </c>
      <c r="C13" s="856">
        <f>IF(ISNUMBER(NºAsuntos!I13/NºAsuntos!G13),NºAsuntos!I13/NºAsuntos!G13," - ")</f>
        <v>2.0028842192006593</v>
      </c>
      <c r="D13" s="857">
        <f>IF(ISNUMBER('Resol  Asuntos'!D13/NºAsuntos!G13),'Resol  Asuntos'!D13/NºAsuntos!G13," - ")</f>
        <v>0.25051503914297485</v>
      </c>
      <c r="E13" s="858">
        <f>IF(ISNUMBER((NºAsuntos!C13+NºAsuntos!E13)/NºAsuntos!G13),(NºAsuntos!C13+NºAsuntos!E13)/NºAsuntos!G13," - ")</f>
        <v>3.0020601565718996</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0.98715006883891698</v>
      </c>
      <c r="C15" s="442">
        <f>IF(ISNUMBER(NºAsuntos!I15/NºAsuntos!G15),NºAsuntos!I15/NºAsuntos!G15," - ")</f>
        <v>1.4193398419339842</v>
      </c>
      <c r="D15" s="443">
        <f>IF(ISNUMBER('Resol  Asuntos'!D15/NºAsuntos!G15),'Resol  Asuntos'!D15/NºAsuntos!G15," - ")</f>
        <v>0.18363551836355183</v>
      </c>
      <c r="E15" s="444">
        <f>IF(ISNUMBER((NºAsuntos!C15+NºAsuntos!E15)/NºAsuntos!G15),(NºAsuntos!C15+NºAsuntos!E15)/NºAsuntos!G15," - ")</f>
        <v>2.4049279404927941</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1.0133333333333334</v>
      </c>
      <c r="C18" s="442">
        <f>IF(ISNUMBER(NºAsuntos!I18/NºAsuntos!G18),NºAsuntos!I18/NºAsuntos!G18," - ")</f>
        <v>1</v>
      </c>
      <c r="D18" s="443">
        <f>IF(ISNUMBER('Resol  Asuntos'!D18/NºAsuntos!G18),'Resol  Asuntos'!D18/NºAsuntos!G18," - ")</f>
        <v>0.14912280701754385</v>
      </c>
      <c r="E18" s="444">
        <f>IF(ISNUMBER((NºAsuntos!C18+NºAsuntos!E18)/NºAsuntos!G18),(NºAsuntos!C18+NºAsuntos!E18)/NºAsuntos!G18," - ")</f>
        <v>1.9956140350877194</v>
      </c>
      <c r="G18" s="462"/>
    </row>
    <row r="19" spans="1:7" ht="14.25" thickTop="1" thickBot="1">
      <c r="A19" s="845" t="str">
        <f>Datos!A19</f>
        <v>TOTAL</v>
      </c>
      <c r="B19" s="855">
        <f>IF(ISNUMBER(NºAsuntos!G19/NºAsuntos!E19),NºAsuntos!G19/NºAsuntos!E19," - ")</f>
        <v>0.99163179916317989</v>
      </c>
      <c r="C19" s="856">
        <f>IF(ISNUMBER(NºAsuntos!I19/NºAsuntos!G19),NºAsuntos!I19/NºAsuntos!G19," - ")</f>
        <v>1.3459915611814346</v>
      </c>
      <c r="D19" s="859">
        <f>IF(ISNUMBER('Resol  Asuntos'!D19/NºAsuntos!G19),'Resol  Asuntos'!D19/NºAsuntos!G19," - ")</f>
        <v>0.1775987725354814</v>
      </c>
      <c r="E19" s="858">
        <f>IF(ISNUMBER((NºAsuntos!C19+NºAsuntos!E19)/NºAsuntos!G19),(NºAsuntos!C19+NºAsuntos!E19)/NºAsuntos!G19," - ")</f>
        <v>2.3333333333333335</v>
      </c>
      <c r="G19" s="462"/>
    </row>
    <row r="20" spans="1:7" ht="15.75" customHeight="1" thickTop="1" thickBot="1">
      <c r="A20" s="790" t="str">
        <f>Datos!A20</f>
        <v>TOTAL JURISDICCIONES</v>
      </c>
      <c r="B20" s="805">
        <f>IF(ISNUMBER(NºAsuntos!G20/NºAsuntos!E20),NºAsuntos!G20/NºAsuntos!E20," - ")</f>
        <v>1.0896103896103897</v>
      </c>
      <c r="C20" s="806">
        <f>IF(ISNUMBER(NºAsuntos!I20/NºAsuntos!G20),NºAsuntos!I20/NºAsuntos!G20," - ")</f>
        <v>1.6626936829558998</v>
      </c>
      <c r="D20" s="807">
        <f>IF(ISNUMBER('Resol  Asuntos'!D20/NºAsuntos!G20),'Resol  Asuntos'!D20/NºAsuntos!G20," - ")</f>
        <v>0.21275327771156138</v>
      </c>
      <c r="E20" s="808">
        <f>IF(ISNUMBER((NºAsuntos!C20+NºAsuntos!E20)/NºAsuntos!G20),(NºAsuntos!C20+NºAsuntos!E20)/NºAsuntos!G20," - ")</f>
        <v>2.6557409614620582</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42tyx1kdRtqpHIVWlKdug225t1AMbxQLlDHZekvjt7FKUJEgbdy87b9jF8F0QVnG7wEbYGWnkP+6SQz5ala1Q==" saltValue="rcsqUvHGWHRDF5RC86p3G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COMUNIDAD VALENCIANA</v>
      </c>
      <c r="G2" s="262"/>
      <c r="H2" s="261"/>
      <c r="I2" s="261"/>
      <c r="J2" s="261"/>
      <c r="K2" s="261"/>
      <c r="L2" s="261" t="str">
        <f>Criterios!A10 &amp;"  "&amp;Criterios!B10</f>
        <v>Provincias  VALENCIA</v>
      </c>
      <c r="N2" s="261" t="str">
        <f>Criterios!A11 &amp;"  "&amp;Criterios!B11</f>
        <v>Resumenes por Partidos Judiciales  TORRENT</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6</v>
      </c>
      <c r="B9" s="176" t="s">
        <v>247</v>
      </c>
      <c r="C9" s="159" t="str">
        <f>Datos!A9</f>
        <v>Sección Civil del T.I</v>
      </c>
      <c r="D9" s="159"/>
      <c r="E9" s="1020">
        <f>IF(ISNUMBER(Datos!AQ9),Datos!AQ9," - ")</f>
        <v>6</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1286</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632</v>
      </c>
      <c r="Y9" s="333">
        <f>SUM(W9:X9)</f>
        <v>632</v>
      </c>
      <c r="Z9" s="334" t="str">
        <f>IF(ISNUMBER(Datos!CC9),Datos!CC9," - ")</f>
        <v xml:space="preserve"> - </v>
      </c>
      <c r="AA9" s="331" t="str">
        <f>IF(ISNUMBER(IF(J_V="SI",Datos!L9,Datos!L9+Datos!AB9)-IF(Monitorios="SI",Datos!CD9,0)),
                          IF(J_V="SI",Datos!L9,Datos!L9+Datos!AB9)-IF(Monitorios="SI",Datos!CD9,0),
                          " - ")</f>
        <v xml:space="preserve"> - </v>
      </c>
      <c r="AB9" s="333">
        <f>IF(ISNUMBER(Datos!R9),Datos!R9," - ")</f>
        <v>11193</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583</v>
      </c>
      <c r="AJ9" s="228" t="str">
        <f>IF(ISNUMBER(Datos!BW9),Datos!BW9," - ")</f>
        <v xml:space="preserve"> - </v>
      </c>
      <c r="AK9" s="227" t="str">
        <f>IF(ISNUMBER(Datos!BX9),Datos!BX9," - ")</f>
        <v xml:space="preserve"> - </v>
      </c>
      <c r="AL9" s="242">
        <f>IF(ISNUMBER(NºAsuntos!G9/NºAsuntos!E9),NºAsuntos!G9/NºAsuntos!E9," - ")</f>
        <v>1.2181818181818183</v>
      </c>
      <c r="AM9" s="259">
        <f>IF(ISNUMBER(((NºAsuntos!I9/NºAsuntos!G9)*11)/factor_trimestre),((NºAsuntos!I9/NºAsuntos!G9)*11)/factor_trimestre," - ")</f>
        <v>6.107462686567164</v>
      </c>
      <c r="AN9" s="243">
        <f>IF(ISNUMBER('Resol  Asuntos'!D9/NºAsuntos!G9),'Resol  Asuntos'!D9/NºAsuntos!G9," - ")</f>
        <v>0.24861407249466952</v>
      </c>
      <c r="AO9" s="244">
        <f>IF(ISNUMBER((NºAsuntos!C9+NºAsuntos!E9)/NºAsuntos!G9),(NºAsuntos!C9+NºAsuntos!E9)/NºAsuntos!G9," - ")</f>
        <v>3.0349680170575692</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1</v>
      </c>
      <c r="F10" s="224">
        <f>IF(ISNUMBER(Datos!L10+Datos!K10-Datos!J10-K10),Datos!L10+Datos!K10-Datos!J10-K10," - ")</f>
        <v>103</v>
      </c>
      <c r="G10" s="332">
        <f>IF(ISNUMBER(Datos!I10),Datos!I10," - ")</f>
        <v>103</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11</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82</v>
      </c>
      <c r="X10" s="225">
        <f>IF(ISNUMBER(Datos!Q10),Datos!Q10," - ")</f>
        <v>4</v>
      </c>
      <c r="Y10" s="333">
        <f t="shared" ref="Y10:Y12" si="0">SUM(W10:X10)</f>
        <v>86</v>
      </c>
      <c r="Z10" s="334" t="str">
        <f>IF(ISNUMBER(Datos!CC10),Datos!CC10," - ")</f>
        <v xml:space="preserve"> - </v>
      </c>
      <c r="AA10" s="331">
        <f>IF(ISNUMBER(Datos!L10),Datos!L10,"-")</f>
        <v>87</v>
      </c>
      <c r="AB10" s="333">
        <f>IF(ISNUMBER(Datos!R10),Datos!R10," - ")</f>
        <v>112</v>
      </c>
      <c r="AC10" s="333">
        <f t="shared" ref="AC10:AC12" si="1">IF(ISNUMBER(AA10+AB10),AA10+AB10," - ")</f>
        <v>199</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25</v>
      </c>
      <c r="AJ10" s="230" t="str">
        <f>IF(ISNUMBER(Datos!BW10),Datos!BW10," - ")</f>
        <v xml:space="preserve"> - </v>
      </c>
      <c r="AK10" s="231" t="str">
        <f>IF(ISNUMBER(Datos!BX10),Datos!BX10," - ")</f>
        <v xml:space="preserve"> - </v>
      </c>
      <c r="AL10" s="242">
        <f>IF(ISNUMBER(NºAsuntos!G10/NºAsuntos!E10),NºAsuntos!G10/NºAsuntos!E10," - ")</f>
        <v>1.2424242424242424</v>
      </c>
      <c r="AM10" s="259">
        <f>IF(ISNUMBER(((NºAsuntos!I10/NºAsuntos!G10)*11)/factor_trimestre),((NºAsuntos!I10/NºAsuntos!G10)*11)/factor_trimestre," - ")</f>
        <v>3.1829268292682933</v>
      </c>
      <c r="AN10" s="243">
        <f>IF(ISNUMBER('Resol  Asuntos'!D10/NºAsuntos!G10),'Resol  Asuntos'!D10/NºAsuntos!G10," - ")</f>
        <v>0.3048780487804878</v>
      </c>
      <c r="AO10" s="244">
        <f>IF(ISNUMBER((NºAsuntos!C10+NºAsuntos!E10)/NºAsuntos!G10),(NºAsuntos!C10+NºAsuntos!E10)/NºAsuntos!G10," - ")</f>
        <v>2.0609756097560976</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7</v>
      </c>
      <c r="F13" s="862">
        <f t="shared" si="3"/>
        <v>103</v>
      </c>
      <c r="G13" s="863">
        <f t="shared" si="3"/>
        <v>103</v>
      </c>
      <c r="H13" s="862">
        <f t="shared" si="3"/>
        <v>0</v>
      </c>
      <c r="I13" s="864">
        <f t="shared" si="3"/>
        <v>0</v>
      </c>
      <c r="J13" s="864">
        <f t="shared" si="3"/>
        <v>0</v>
      </c>
      <c r="K13" s="864">
        <f t="shared" si="3"/>
        <v>0</v>
      </c>
      <c r="L13" s="864">
        <f t="shared" si="3"/>
        <v>1297</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82</v>
      </c>
      <c r="X13" s="864">
        <f t="shared" si="4"/>
        <v>636</v>
      </c>
      <c r="Y13" s="865">
        <f t="shared" si="4"/>
        <v>718</v>
      </c>
      <c r="Z13" s="865">
        <f t="shared" si="4"/>
        <v>0</v>
      </c>
      <c r="AA13" s="865">
        <f t="shared" si="4"/>
        <v>87</v>
      </c>
      <c r="AB13" s="865">
        <f t="shared" si="4"/>
        <v>11305</v>
      </c>
      <c r="AC13" s="865">
        <f t="shared" si="4"/>
        <v>199</v>
      </c>
      <c r="AD13" s="865">
        <f t="shared" si="4"/>
        <v>0</v>
      </c>
      <c r="AE13" s="869">
        <f t="shared" si="4"/>
        <v>0</v>
      </c>
      <c r="AF13" s="862">
        <f t="shared" si="4"/>
        <v>0</v>
      </c>
      <c r="AG13" s="870">
        <f t="shared" si="4"/>
        <v>0</v>
      </c>
      <c r="AH13" s="867">
        <f t="shared" si="4"/>
        <v>0</v>
      </c>
      <c r="AI13" s="862">
        <f t="shared" si="4"/>
        <v>608</v>
      </c>
      <c r="AJ13" s="864">
        <f t="shared" si="4"/>
        <v>0</v>
      </c>
      <c r="AK13" s="867">
        <f>SUBTOTAL(9,AK9:AK12)</f>
        <v>0</v>
      </c>
      <c r="AL13" s="871">
        <f>IF(ISNUMBER(NºAsuntos!G13/NºAsuntos!E13),NºAsuntos!G13/NºAsuntos!E13," - ")</f>
        <v>1.2189854344550477</v>
      </c>
      <c r="AM13" s="871">
        <f>IF(ISNUMBER(((NºAsuntos!I13/NºAsuntos!G13)*11)/factor_trimestre),((NºAsuntos!I13/NºAsuntos!G13)*11)/factor_trimestre," - ")</f>
        <v>6.0086526576019779</v>
      </c>
      <c r="AN13" s="872">
        <f>IF(ISNUMBER('Resol  Asuntos'!D13/NºAsuntos!G13),'Resol  Asuntos'!D13/NºAsuntos!G13," - ")</f>
        <v>0.25051503914297485</v>
      </c>
      <c r="AO13" s="873">
        <f>IF(ISNUMBER((NºAsuntos!C13+NºAsuntos!E13)/NºAsuntos!G13),(NºAsuntos!C13+NºAsuntos!E13)/NºAsuntos!G13," - ")</f>
        <v>3.0020601565718996</v>
      </c>
      <c r="AP13" s="874" t="str">
        <f t="shared" si="2"/>
        <v xml:space="preserve"> - </v>
      </c>
      <c r="AQ13" s="874">
        <f>IF(ISNUMBER((H13-W13+K13)/(F13)),(H13-W13+K13)/(F13)," - ")</f>
        <v>-0.79611650485436891</v>
      </c>
      <c r="AR13" s="875">
        <f>IF(ISNUMBER((Datos!P13-Datos!Q13)/(Datos!R13-Datos!P13+Datos!Q13)),(Datos!P13-Datos!Q13)/(Datos!R13-Datos!P13+Datos!Q13)," - ")</f>
        <v>6.2100714017286736E-2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3</v>
      </c>
      <c r="B15" s="274" t="s">
        <v>397</v>
      </c>
      <c r="C15" s="159" t="str">
        <f>Datos!A15</f>
        <v xml:space="preserve">Seccion Instruccion Del T.I.                   </v>
      </c>
      <c r="D15" s="159"/>
      <c r="E15" s="1020">
        <f>IF(ISNUMBER(Datos!AQ15),Datos!AQ15," - ")</f>
        <v>3</v>
      </c>
      <c r="F15" s="224">
        <f>IF(ISNUMBER(AA15+W15-Datos!J15-K15),AA15+W15-Datos!J15-K15," - ")</f>
        <v>3025</v>
      </c>
      <c r="G15" s="332">
        <f>IF(ISNUMBER(IF(D_I="SI",Datos!I15,Datos!I15+Datos!AC15)),IF(D_I="SI",Datos!I15,Datos!I15+Datos!AC15)," - ")</f>
        <v>2994</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129</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2151</v>
      </c>
      <c r="X15" s="225">
        <f>IF(ISNUMBER(Datos!Q15),Datos!Q15," - ")</f>
        <v>131</v>
      </c>
      <c r="Y15" s="333">
        <f>SUM(W15)</f>
        <v>2151</v>
      </c>
      <c r="Z15" s="334" t="str">
        <f>IF(ISNUMBER(Datos!CC15),Datos!CC15," - ")</f>
        <v xml:space="preserve"> - </v>
      </c>
      <c r="AA15" s="331">
        <f>IF(ISNUMBER(IF(D_I="SI",Datos!L15,Datos!L15+Datos!AF15)),IF(D_I="SI",Datos!L15,Datos!L15+Datos!AF15)," - ")</f>
        <v>3053</v>
      </c>
      <c r="AB15" s="333">
        <f>IF(ISNUMBER(Datos!R15),Datos!R15," - ")</f>
        <v>344</v>
      </c>
      <c r="AC15" s="333">
        <f t="shared" ref="AC15:AC18" si="6">IF(ISNUMBER(AA15+AB15),AA15+AB15," - ")</f>
        <v>3397</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395</v>
      </c>
      <c r="AJ15" s="230" t="str">
        <f>IF(ISNUMBER(Datos!BW15),Datos!BW15," - ")</f>
        <v xml:space="preserve"> - </v>
      </c>
      <c r="AK15" s="231" t="str">
        <f>IF(ISNUMBER(Datos!BX15),Datos!BX15," - ")</f>
        <v xml:space="preserve"> - </v>
      </c>
      <c r="AL15" s="242">
        <f>IF(ISNUMBER(NºAsuntos!G15/NºAsuntos!E15),NºAsuntos!G15/NºAsuntos!E15," - ")</f>
        <v>0.98715006883891698</v>
      </c>
      <c r="AM15" s="259">
        <f>IF(ISNUMBER(((NºAsuntos!I15/NºAsuntos!G15)*11)/factor_trimestre),((NºAsuntos!I15/NºAsuntos!G15)*11)/factor_trimestre," - ")</f>
        <v>4.2580195258019531</v>
      </c>
      <c r="AN15" s="243">
        <f>IF(ISNUMBER('Resol  Asuntos'!D15/NºAsuntos!G15),'Resol  Asuntos'!D15/NºAsuntos!G15," - ")</f>
        <v>0.18363551836355183</v>
      </c>
      <c r="AO15" s="244">
        <f>IF(ISNUMBER((NºAsuntos!C15+NºAsuntos!E15)/NºAsuntos!G15),(NºAsuntos!C15+NºAsuntos!E15)/NºAsuntos!G15," - ")</f>
        <v>2.4049279404927941</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460</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14</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456</v>
      </c>
      <c r="X18" s="225">
        <f>IF(ISNUMBER(Datos!Q18),Datos!Q18," - ")</f>
        <v>19</v>
      </c>
      <c r="Y18" s="333">
        <f t="shared" si="9"/>
        <v>475</v>
      </c>
      <c r="Z18" s="334" t="str">
        <f>IF(ISNUMBER(Datos!CC18),Datos!CC18," - ")</f>
        <v xml:space="preserve"> - </v>
      </c>
      <c r="AA18" s="331">
        <f>IF(ISNUMBER(Datos!L18),Datos!L18,"-")</f>
        <v>456</v>
      </c>
      <c r="AB18" s="333">
        <f>IF(ISNUMBER(Datos!R18),Datos!R18," - ")</f>
        <v>10</v>
      </c>
      <c r="AC18" s="333">
        <f t="shared" si="6"/>
        <v>466</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68</v>
      </c>
      <c r="AJ18" s="230" t="str">
        <f>IF(ISNUMBER(Datos!BW18),Datos!BW18," - ")</f>
        <v xml:space="preserve"> - </v>
      </c>
      <c r="AK18" s="231" t="str">
        <f>IF(ISNUMBER(Datos!BX18),Datos!BX18," - ")</f>
        <v xml:space="preserve"> - </v>
      </c>
      <c r="AL18" s="242">
        <f>IF(ISNUMBER(NºAsuntos!G18/NºAsuntos!E18),NºAsuntos!G18/NºAsuntos!E18," - ")</f>
        <v>1.0133333333333334</v>
      </c>
      <c r="AM18" s="259">
        <f>IF(ISNUMBER(((NºAsuntos!I18/NºAsuntos!G18)*11)/factor_trimestre),((NºAsuntos!I18/NºAsuntos!G18)*11)/factor_trimestre," - ")</f>
        <v>3</v>
      </c>
      <c r="AN18" s="243">
        <f>IF(ISNUMBER('Resol  Asuntos'!D18/NºAsuntos!G18),'Resol  Asuntos'!D18/NºAsuntos!G18," - ")</f>
        <v>0.14912280701754385</v>
      </c>
      <c r="AO18" s="244">
        <f>IF(ISNUMBER((NºAsuntos!C18+NºAsuntos!E18)/NºAsuntos!G18),(NºAsuntos!C18+NºAsuntos!E18)/NºAsuntos!G18," - ")</f>
        <v>1.9956140350877194</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4</v>
      </c>
      <c r="F19" s="862">
        <f>SUBTOTAL(9,F14:F18)</f>
        <v>3025</v>
      </c>
      <c r="G19" s="863">
        <f>SUBTOTAL(9,G15:G18)</f>
        <v>3454</v>
      </c>
      <c r="H19" s="862">
        <f t="shared" ref="H19:O19" si="12">SUBTOTAL(9,H14:H18)</f>
        <v>0</v>
      </c>
      <c r="I19" s="864">
        <f t="shared" si="12"/>
        <v>0</v>
      </c>
      <c r="J19" s="864">
        <f t="shared" si="12"/>
        <v>0</v>
      </c>
      <c r="K19" s="864">
        <f t="shared" si="12"/>
        <v>0</v>
      </c>
      <c r="L19" s="864">
        <f t="shared" si="12"/>
        <v>143</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2607</v>
      </c>
      <c r="X19" s="864">
        <f t="shared" si="13"/>
        <v>150</v>
      </c>
      <c r="Y19" s="865">
        <f t="shared" si="13"/>
        <v>2626</v>
      </c>
      <c r="Z19" s="865">
        <f t="shared" si="13"/>
        <v>0</v>
      </c>
      <c r="AA19" s="865">
        <f t="shared" si="13"/>
        <v>3509</v>
      </c>
      <c r="AB19" s="865">
        <f t="shared" si="13"/>
        <v>354</v>
      </c>
      <c r="AC19" s="865">
        <f t="shared" si="13"/>
        <v>3863</v>
      </c>
      <c r="AD19" s="865">
        <f t="shared" si="13"/>
        <v>0</v>
      </c>
      <c r="AE19" s="869">
        <f t="shared" si="13"/>
        <v>0</v>
      </c>
      <c r="AF19" s="862">
        <f t="shared" si="13"/>
        <v>0</v>
      </c>
      <c r="AG19" s="870">
        <f t="shared" si="13"/>
        <v>0</v>
      </c>
      <c r="AH19" s="867">
        <f t="shared" si="13"/>
        <v>0</v>
      </c>
      <c r="AI19" s="862">
        <f t="shared" si="13"/>
        <v>463</v>
      </c>
      <c r="AJ19" s="864">
        <f t="shared" si="13"/>
        <v>0</v>
      </c>
      <c r="AK19" s="867">
        <f t="shared" si="13"/>
        <v>0</v>
      </c>
      <c r="AL19" s="871">
        <f>IF(ISNUMBER(NºAsuntos!G19/NºAsuntos!E19),NºAsuntos!G19/NºAsuntos!E19," - ")</f>
        <v>0.99163179916317989</v>
      </c>
      <c r="AM19" s="871">
        <f>IF(ISNUMBER(((NºAsuntos!I19/NºAsuntos!G19)*11)/factor_trimestre),((NºAsuntos!I19/NºAsuntos!G19)*11)/factor_trimestre," - ")</f>
        <v>4.037974683544304</v>
      </c>
      <c r="AN19" s="872">
        <f>IF(ISNUMBER('Resol  Asuntos'!D19/NºAsuntos!G19),'Resol  Asuntos'!D19/NºAsuntos!G19," - ")</f>
        <v>0.1775987725354814</v>
      </c>
      <c r="AO19" s="873">
        <f>IF(ISNUMBER((NºAsuntos!C19+NºAsuntos!E19)/NºAsuntos!G19),(NºAsuntos!C19+NºAsuntos!E19)/NºAsuntos!G19," - ")</f>
        <v>2.3333333333333335</v>
      </c>
      <c r="AP19" s="874" t="str">
        <f t="shared" si="2"/>
        <v xml:space="preserve"> - </v>
      </c>
      <c r="AQ19" s="874">
        <f>IF(ISNUMBER((H19-W19+K19)/(F19)),(H19-W19+K19)/(F19)," - ")</f>
        <v>-0.86181818181818182</v>
      </c>
      <c r="AR19" s="875">
        <f>IF(ISNUMBER((Datos!P19-Datos!Q19)/(Datos!R19-Datos!P19+Datos!Q19)),(Datos!P19-Datos!Q19)/(Datos!R19-Datos!P19+Datos!Q19)," - ")</f>
        <v>-1.9390581717451522E-2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11</v>
      </c>
      <c r="F20" s="817">
        <f t="shared" si="15"/>
        <v>3128</v>
      </c>
      <c r="G20" s="818">
        <f t="shared" si="15"/>
        <v>3557</v>
      </c>
      <c r="H20" s="817">
        <f t="shared" si="15"/>
        <v>0</v>
      </c>
      <c r="I20" s="819">
        <f t="shared" si="15"/>
        <v>0</v>
      </c>
      <c r="J20" s="819">
        <f t="shared" si="15"/>
        <v>0</v>
      </c>
      <c r="K20" s="878">
        <f t="shared" si="15"/>
        <v>0</v>
      </c>
      <c r="L20" s="819">
        <f t="shared" si="15"/>
        <v>1440</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2689</v>
      </c>
      <c r="X20" s="818">
        <f t="shared" si="16"/>
        <v>786</v>
      </c>
      <c r="Y20" s="825">
        <f t="shared" si="16"/>
        <v>3344</v>
      </c>
      <c r="Z20" s="825">
        <f t="shared" si="16"/>
        <v>0</v>
      </c>
      <c r="AA20" s="825">
        <f t="shared" si="16"/>
        <v>3596</v>
      </c>
      <c r="AB20" s="825">
        <f t="shared" si="16"/>
        <v>11659</v>
      </c>
      <c r="AC20" s="825">
        <f t="shared" si="16"/>
        <v>4062</v>
      </c>
      <c r="AD20" s="825">
        <f t="shared" si="16"/>
        <v>0</v>
      </c>
      <c r="AE20" s="827">
        <f t="shared" si="16"/>
        <v>0</v>
      </c>
      <c r="AF20" s="828">
        <f t="shared" si="16"/>
        <v>0</v>
      </c>
      <c r="AG20" s="829">
        <f t="shared" si="16"/>
        <v>0</v>
      </c>
      <c r="AH20" s="827">
        <f t="shared" si="16"/>
        <v>0</v>
      </c>
      <c r="AI20" s="817">
        <f t="shared" si="16"/>
        <v>1071</v>
      </c>
      <c r="AJ20" s="817">
        <f t="shared" si="16"/>
        <v>0</v>
      </c>
      <c r="AK20" s="827">
        <f t="shared" si="16"/>
        <v>0</v>
      </c>
      <c r="AL20" s="881">
        <f>IF(ISNUMBER(NºAsuntos!G20/NºAsuntos!E20),NºAsuntos!G20/NºAsuntos!E20," - ")</f>
        <v>1.0896103896103897</v>
      </c>
      <c r="AM20" s="882">
        <f>IF(ISNUMBER(((NºAsuntos!I20/NºAsuntos!G20)*11)/factor_trimestre),((NºAsuntos!I20/NºAsuntos!G20)*11)/factor_trimestre," - ")</f>
        <v>4.9880810488676994</v>
      </c>
      <c r="AN20" s="882">
        <f>IF(ISNUMBER('Resol  Asuntos'!D20/NºAsuntos!G20),'Resol  Asuntos'!D20/NºAsuntos!G20," - ")</f>
        <v>0.21275327771156138</v>
      </c>
      <c r="AO20" s="883">
        <f>IF(ISNUMBER((NºAsuntos!C20+NºAsuntos!E20)/NºAsuntos!G20),(NºAsuntos!C20+NºAsuntos!E20)/NºAsuntos!G20," - ")</f>
        <v>2.6557409614620582</v>
      </c>
      <c r="AP20" s="884" t="str">
        <f t="shared" si="2"/>
        <v xml:space="preserve"> - </v>
      </c>
      <c r="AQ20" s="885">
        <f>IF(OR(ISNUMBER(FIND("01",Criterios!A8,1)),ISNUMBER(FIND("02",Criterios!A8,1)),ISNUMBER(FIND("03",Criterios!A8,1)),ISNUMBER(FIND("04",Criterios!A8,1))),(I20-W20+K20)/(F20-K20),(H20-W20+K20)/(F20-K20))</f>
        <v>-0.85965473145780047</v>
      </c>
      <c r="AR20" s="886">
        <f>IF(ISNUMBER((Datos!P20-Datos!Q20)/(Datos!R20-Datos!P20+Datos!Q20)),(Datos!P20-Datos!Q20)/(Datos!R20-Datos!P20+Datos!Q20)," - ")</f>
        <v>5.9427532939572925E-2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1422.8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2.6583202716502514</v>
      </c>
      <c r="F22" s="251">
        <f>IF(ISNUMBER(STDEV(F8:F19)),STDEV(F8:F19),"-")</f>
        <v>1687.0174865720865</v>
      </c>
      <c r="G22" s="252">
        <f>IF(ISNUMBER(STDEV(G8:G19)),STDEV(G8:G19),"-")</f>
        <v>1658.702113099275</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1210.3777509521562</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253.18056797471641</v>
      </c>
      <c r="AJ22" s="251">
        <f t="shared" si="20"/>
        <v>0</v>
      </c>
      <c r="AK22" s="253">
        <f t="shared" si="20"/>
        <v>0</v>
      </c>
      <c r="AL22" s="248">
        <f t="shared" si="20"/>
        <v>0.12612854598921364</v>
      </c>
      <c r="AM22" s="249">
        <f t="shared" si="20"/>
        <v>1.3482833694332073</v>
      </c>
      <c r="AN22" s="249">
        <f t="shared" si="20"/>
        <v>5.8468347721335578E-2</v>
      </c>
      <c r="AO22" s="250">
        <f t="shared" si="20"/>
        <v>0.45111162652498027</v>
      </c>
      <c r="AP22" s="290" t="str">
        <f t="shared" si="20"/>
        <v>-</v>
      </c>
      <c r="AQ22" s="291">
        <f t="shared" si="20"/>
        <v>4.6458101316440084E-2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UKKqglvsH8cq52BQtE+WdxglJobmDP2oGDmZy5lESdIGTrQ+xWPK/aoLsKsxnDatNDkbuqkbOQ51eEeu3aNf2Q==" saltValue="nHggnvLtBqvjtzSgoLRy+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COMUNIDAD VALENCIANA</v>
      </c>
      <c r="E2" s="262"/>
    </row>
    <row r="3" spans="2:20" ht="17.25" customHeight="1">
      <c r="C3" s="266"/>
      <c r="D3" s="261" t="str">
        <f>Criterios!A10 &amp;"  "&amp;Criterios!B10</f>
        <v>Provincias  VALENCIA</v>
      </c>
      <c r="E3" s="262"/>
    </row>
    <row r="4" spans="2:20" ht="17.25" customHeight="1" thickBot="1">
      <c r="D4" s="261" t="str">
        <f>Criterios!A11 &amp;"  "&amp;Criterios!B11</f>
        <v>Resumenes por Partidos Judiciales  TORRENT</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3.0035335689045935E-2</v>
      </c>
      <c r="I9" s="349">
        <f>IF(ISNUMBER((Tasas!C9-Datos!BE9)/Datos!BE9),(Tasas!C9-Datos!BE9)/Datos!BE9," - ")</f>
        <v>3.837008053701596E-2</v>
      </c>
      <c r="J9" s="348">
        <f>IF(ISNUMBER((Tasas!D9-Datos!BF9)/Datos!BF9),(Tasas!D9-Datos!BF9)/Datos!BF9," - ")</f>
        <v>-0.51661088327657256</v>
      </c>
      <c r="K9" s="350">
        <f>IF(ISNUMBER((Tasas!E9-Datos!BG9)/Datos!BG9),(Tasas!E9-Datos!BG9)/Datos!BG9," - ")</f>
        <v>2.5121734089183587E-2</v>
      </c>
      <c r="M9" t="e">
        <f>IF(Monitorios="SI",Datos!CE9,0)</f>
        <v>#REF!</v>
      </c>
      <c r="N9" t="e">
        <f>IF(Monitorios="SI",Datos!CF9,0)</f>
        <v>#REF!</v>
      </c>
      <c r="O9" t="e">
        <f>IF(Monitorios="SI",Datos!CG9,0)</f>
        <v>#REF!</v>
      </c>
      <c r="P9" t="e">
        <f>IF(Monitorios="SI",Datos!CH9,0)</f>
        <v>#REF!</v>
      </c>
      <c r="Q9">
        <f>IF(J_V="SI",0,Datos!AG9)</f>
        <v>225</v>
      </c>
      <c r="R9">
        <f>IF(J_V="SI",0,Datos!AH9)</f>
        <v>185</v>
      </c>
      <c r="S9">
        <f>IF(J_V="SI",0,Datos!AI9)</f>
        <v>224</v>
      </c>
      <c r="T9">
        <f>IF(J_V="SI",0,Datos!AJ9)</f>
        <v>186</v>
      </c>
    </row>
    <row r="10" spans="2:20" ht="14.25">
      <c r="B10" s="274" t="s">
        <v>247</v>
      </c>
      <c r="C10" s="7" t="str">
        <f>Datos!A10</f>
        <v>Sección De Violencia sobre la Mujer del TI</v>
      </c>
      <c r="D10" s="351">
        <f>IF(ISNUMBER((Datos!I10-Datos!S10)/Datos!S10),(Datos!I10-Datos!S10)/Datos!S10," - ")</f>
        <v>0</v>
      </c>
      <c r="E10" s="347">
        <f>IF(ISNUMBER((Datos!J10-Datos!T10)/Datos!T10),(Datos!J10-Datos!T10)/Datos!T10," - ")</f>
        <v>6.4516129032258063E-2</v>
      </c>
      <c r="F10" s="347">
        <f>IF(ISNUMBER((Datos!K10-Datos!U10)/Datos!U10),(Datos!K10-Datos!U10)/Datos!U10," - ")</f>
        <v>0.10810810810810811</v>
      </c>
      <c r="G10" s="348">
        <f>IF(ISNUMBER((Datos!L10-Datos!V10)/Datos!V10),(Datos!L10-Datos!V10)/Datos!V10," - ")</f>
        <v>-4.3956043956043959E-2</v>
      </c>
      <c r="H10" s="229">
        <f>IF(ISNUMBER((Datos!M10-Datos!W10)/Datos!W10),(Datos!M10-Datos!W10)/Datos!W10," - ")</f>
        <v>-0.24242424242424243</v>
      </c>
      <c r="I10" s="349">
        <f>IF(ISNUMBER((Tasas!C10-Datos!BE10)/Datos!BE10),(Tasas!C10-Datos!BE10)/Datos!BE10," - ")</f>
        <v>-0.13722862503350311</v>
      </c>
      <c r="J10" s="348">
        <f>IF(ISNUMBER((Tasas!D10-Datos!BF10)/Datos!BF10),(Tasas!D10-Datos!BF10)/Datos!BF10," - ")</f>
        <v>-0.31633407243163342</v>
      </c>
      <c r="K10" s="350">
        <f>IF(ISNUMBER((Tasas!E10-Datos!BG10)/Datos!BG10),(Tasas!E10-Datos!BG10)/Datos!BG10," - ")</f>
        <v>-7.568366592756838E-2</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1.5025041736227046E-2</v>
      </c>
      <c r="I13" s="356">
        <f>IF(ISNUMBER((Tasas!C13-Datos!BE13)/Datos!BE13),(Tasas!C13-Datos!BE13)/Datos!BE13," - ")</f>
        <v>3.091621769749766E-2</v>
      </c>
      <c r="J13" s="354">
        <f>IF(ISNUMBER((Tasas!D13-Datos!BF13)/Datos!BF13),(Tasas!D13-Datos!BF13)/Datos!BF13," - ")</f>
        <v>-0.51133508710764586</v>
      </c>
      <c r="K13" s="357">
        <f>IF(ISNUMBER((Tasas!E13-Datos!BG13)/Datos!BG13),(Tasas!E13-Datos!BG13)/Datos!BG13," - ")</f>
        <v>2.0130547900423283E-2</v>
      </c>
      <c r="M13" t="e">
        <f>IF(Monitorios="SI",Datos!CE13,0)</f>
        <v>#REF!</v>
      </c>
      <c r="N13" t="e">
        <f>IF(Monitorios="SI",Datos!CF13,0)</f>
        <v>#REF!</v>
      </c>
      <c r="O13" t="e">
        <f>IF(Monitorios="SI",Datos!CG13,0)</f>
        <v>#REF!</v>
      </c>
      <c r="P13" t="e">
        <f>IF(Monitorios="SI",Datos!CH13,0)</f>
        <v>#REF!</v>
      </c>
      <c r="Q13">
        <f>IF(J_V="SI",0,Datos!AG13)</f>
        <v>225</v>
      </c>
      <c r="R13">
        <f>IF(J_V="SI",0,Datos!AH13)</f>
        <v>185</v>
      </c>
      <c r="S13">
        <f>IF(J_V="SI",0,Datos!AI13)</f>
        <v>224</v>
      </c>
      <c r="T13">
        <f>IF(J_V="SI",0,Datos!AJ13)</f>
        <v>186</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0.11716417910447761</v>
      </c>
      <c r="E15" s="347">
        <f>IF(ISNUMBER(
   IF(D_I="SI",(Datos!J15-Datos!T15)/Datos!T15,(Datos!J15+Datos!AD15-(Datos!T15+Datos!AL15))/(Datos!T15+Datos!AL15))
     ),IF(D_I="SI",(Datos!J15-Datos!T15)/Datos!T15,(Datos!J15+Datos!AD15-(Datos!T15+Datos!AL15))/(Datos!T15+Datos!AL15))," - ")</f>
        <v>3.1723484848484848E-2</v>
      </c>
      <c r="F15" s="347">
        <f>IF(ISNUMBER(
   IF(D_I="SI",(Datos!K15-Datos!U15)/Datos!U15,(Datos!K15+Datos!AE15-(Datos!U15+Datos!AM15))/(Datos!U15+Datos!AM15))
     ),IF(D_I="SI",(Datos!K15-Datos!U15)/Datos!U15,(Datos!K15+Datos!AE15-(Datos!U15+Datos!AM15))/(Datos!U15+Datos!AM15))," - ")</f>
        <v>5.7002457002456999E-2</v>
      </c>
      <c r="G15" s="348">
        <f>IF(ISNUMBER(
   IF(D_I="SI",(Datos!L15-Datos!V15)/Datos!V15,(Datos!L15+Datos!AF15-(Datos!V15+Datos!AN15))/(Datos!V15+Datos!AN15))
     ),IF(D_I="SI",(Datos!L15-Datos!V15)/Datos!V15,(Datos!L15+Datos!AF15-(Datos!V15+Datos!AN15))/(Datos!V15+Datos!AN15))," - ")</f>
        <v>9.5836324479540561E-2</v>
      </c>
      <c r="H15" s="229">
        <f>IF(ISNUMBER((Datos!M15-Datos!W15)/Datos!W15),(Datos!M15-Datos!W15)/Datos!W15," - ")</f>
        <v>2.0671834625322998E-2</v>
      </c>
      <c r="I15" s="349">
        <f>IF(ISNUMBER((Tasas!C15-Datos!BE15)/Datos!BE15),(Tasas!C15-Datos!BE15)/Datos!BE15," - ")</f>
        <v>3.6739618928807512E-2</v>
      </c>
      <c r="J15" s="348">
        <f>IF(ISNUMBER((Tasas!D15-Datos!BF15)/Datos!BF15),(Tasas!D15-Datos!BF15)/Datos!BF15," - ")</f>
        <v>-3.4371369845405841E-2</v>
      </c>
      <c r="K15" s="350">
        <f>IF(ISNUMBER((Tasas!E15-Datos!BG15)/Datos!BG15),(Tasas!E15-Datos!BG15)/Datos!BG15," - ")</f>
        <v>2.1291393761025953E-2</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0.30681818181818182</v>
      </c>
      <c r="E18" s="347">
        <f>IF(ISNUMBER(
   IF(D_I="SI",(Datos!J18-Datos!T18)/Datos!T18,(Datos!J18+Datos!AD18-(Datos!T18+Datos!AL18))/(Datos!T18+Datos!AL18))
     ),IF(D_I="SI",(Datos!J18-Datos!T18)/Datos!T18,(Datos!J18+Datos!AD18-(Datos!T18+Datos!AL18))/(Datos!T18+Datos!AL18))," - ")</f>
        <v>4.6511627906976744E-2</v>
      </c>
      <c r="F18" s="347">
        <f>IF(ISNUMBER(
   IF(D_I="SI",(Datos!K18-Datos!U18)/Datos!U18,(Datos!K18+Datos!AE18-(Datos!U18+Datos!AM18))/(Datos!U18+Datos!AM18))
     ),IF(D_I="SI",(Datos!K18-Datos!U18)/Datos!U18,(Datos!K18+Datos!AE18-(Datos!U18+Datos!AM18))/(Datos!U18+Datos!AM18))," - ")</f>
        <v>0.10948905109489052</v>
      </c>
      <c r="G18" s="348">
        <f>IF(ISNUMBER(
   IF(D_I="SI",(Datos!L18-Datos!V18)/Datos!V18,(Datos!L18+Datos!AF18-(Datos!V18+Datos!AN18))/(Datos!V18+Datos!AN18))
     ),IF(D_I="SI",(Datos!L18-Datos!V18)/Datos!V18,(Datos!L18+Datos!AF18-(Datos!V18+Datos!AN18))/(Datos!V18+Datos!AN18))," - ")</f>
        <v>0.22911051212938005</v>
      </c>
      <c r="H18" s="229">
        <f>IF(ISNUMBER((Datos!M18-Datos!W18)/Datos!W18),(Datos!M18-Datos!W18)/Datos!W18," - ")</f>
        <v>-0.13924050632911392</v>
      </c>
      <c r="I18" s="349">
        <f>IF(ISNUMBER((Tasas!C18-Datos!BE18)/Datos!BE18),(Tasas!C18-Datos!BE18)/Datos!BE18," - ")</f>
        <v>0.10781671159029649</v>
      </c>
      <c r="J18" s="348">
        <f>IF(ISNUMBER((Tasas!D18-Datos!BF18)/Datos!BF18),(Tasas!D18-Datos!BF18)/Datos!BF18," - ")</f>
        <v>-0.22418387741505663</v>
      </c>
      <c r="K18" s="350">
        <f>IF(ISNUMBER((Tasas!E18-Datos!BG18)/Datos!BG18),(Tasas!E18-Datos!BG18)/Datos!BG18," - ")</f>
        <v>4.8845739668865365E-2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0.1391820580474934</v>
      </c>
      <c r="E19" s="353">
        <f>IF(ISNUMBER(
   IF(D_I="SI",(Datos!J19-Datos!T19)/Datos!T19,(Datos!J19+Datos!AD19-(Datos!T19+Datos!AL19))/(Datos!T19+Datos!AL19))
     ),IF(D_I="SI",(Datos!J19-Datos!T19)/Datos!T19,(Datos!J19+Datos!AD19-(Datos!T19+Datos!AL19))/(Datos!T19+Datos!AL19))," - ")</f>
        <v>3.4225019669551535E-2</v>
      </c>
      <c r="F19" s="353">
        <f>IF(ISNUMBER(
   IF(D_I="SI",(Datos!K19-Datos!U19)/Datos!U19,(Datos!K19+Datos!AE19-(Datos!U19+Datos!AM19))/(Datos!U19+Datos!AM19))
     ),IF(D_I="SI",(Datos!K19-Datos!U19)/Datos!U19,(Datos!K19+Datos!AE19-(Datos!U19+Datos!AM19))/(Datos!U19+Datos!AM19))," - ")</f>
        <v>6.5821749795584625E-2</v>
      </c>
      <c r="G19" s="354">
        <f>IF(ISNUMBER(
   IF(D_I="SI",(Datos!L19-Datos!V19)/Datos!V19,(Datos!L19+Datos!AF19-(Datos!V19+Datos!AN19))/(Datos!V19+Datos!AN19))
     ),IF(D_I="SI",(Datos!L19-Datos!V19)/Datos!V19,(Datos!L19+Datos!AF19-(Datos!V19+Datos!AN19))/(Datos!V19+Datos!AN19))," - ")</f>
        <v>0.11149825783972125</v>
      </c>
      <c r="H19" s="355">
        <f>IF(ISNUMBER((Datos!M19-Datos!W19)/Datos!W19),(Datos!M19-Datos!W19)/Datos!W19," - ")</f>
        <v>-6.4377682403433476E-3</v>
      </c>
      <c r="I19" s="356">
        <f>IF(ISNUMBER((Tasas!C19-Datos!BE19)/Datos!BE19),(Tasas!C19-Datos!BE19)/Datos!BE19," - ")</f>
        <v>4.2855672679692348E-2</v>
      </c>
      <c r="J19" s="354">
        <f>IF(ISNUMBER((Tasas!D19-Datos!BF19)/Datos!BF19),(Tasas!D19-Datos!BF19)/Datos!BF19," - ")</f>
        <v>-6.7797000811614772E-2</v>
      </c>
      <c r="K19" s="357">
        <f>IF(ISNUMBER((Tasas!E19-Datos!BG19)/Datos!BG19),(Tasas!E19-Datos!BG19)/Datos!BG19," - ")</f>
        <v>2.3920583662241417E-2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-6.3276231263383304E-2</v>
      </c>
      <c r="E20" s="362">
        <f>IF(ISNUMBER(
   IF(J_V="SI",(Datos!J20-Datos!T20)/Datos!T20,(Datos!J20+Datos!Z20-(Datos!T20+Datos!AH20))/(Datos!T20+Datos!AH20))
     ),IF(J_V="SI",(Datos!J20-Datos!T20)/Datos!T20,(Datos!J20+Datos!Z20-(Datos!T20+Datos!AH20))/(Datos!T20+Datos!AH20))," - ")</f>
        <v>-0.10965503950664868</v>
      </c>
      <c r="F20" s="362">
        <f>IF(ISNUMBER(
   IF(J_V="SI",(Datos!K20-Datos!U20)/Datos!U20,(Datos!K20+Datos!AA20-(Datos!U20+Datos!AI20))/(Datos!U20+Datos!AI20))
     ),IF(J_V="SI",(Datos!K20-Datos!U20)/Datos!U20,(Datos!K20+Datos!AA20-(Datos!U20+Datos!AI20))/(Datos!U20+Datos!AI20))," - ")</f>
        <v>-8.2893058844962647E-2</v>
      </c>
      <c r="G20" s="363">
        <f>IF(ISNUMBER(
   IF(J_V="SI",(Datos!L20-Datos!V20)/Datos!V20,(Datos!L20+Datos!AB20-(Datos!V20+Datos!AJ20))/(Datos!V20+Datos!AJ20))
     ),IF(J_V="SI",(Datos!L20-Datos!V20)/Datos!V20,(Datos!L20+Datos!AB20-(Datos!V20+Datos!AJ20))/(Datos!V20+Datos!AJ20))," - ")</f>
        <v>-7.7075752563678462E-2</v>
      </c>
      <c r="H20" s="364">
        <f>IF(ISNUMBER((Datos!M20-Datos!W20)/Datos!W20),(Datos!M20-Datos!W20)/Datos!W20," - ")</f>
        <v>5.6338028169014088E-3</v>
      </c>
      <c r="I20" s="361">
        <f>IF(ISNUMBER((Tasas!C20-Datos!BE20)/Datos!BE20),(Tasas!C20-Datos!BE20)/Datos!BE20," - ")</f>
        <v>6.3431057167200626E-3</v>
      </c>
      <c r="J20" s="362">
        <f>IF(ISNUMBER((Tasas!D20-Datos!BF20)/Datos!BF20),(Tasas!D20-Datos!BF20)/Datos!BF20," - ")</f>
        <v>-0.42359193417632751</v>
      </c>
      <c r="K20" s="363">
        <f>IF(ISNUMBER((Tasas!E20-Datos!BG20)/Datos!BG20),(Tasas!E20-Datos!BG20)/Datos!BG20," - ")</f>
        <v>3.3286625001884861E-3</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0.12642250082333623</v>
      </c>
      <c r="E22" s="277">
        <f t="shared" si="1"/>
        <v>1.4980483062184208E-2</v>
      </c>
      <c r="F22" s="277">
        <f t="shared" si="1"/>
        <v>2.7600251154291437E-2</v>
      </c>
      <c r="G22" s="278">
        <f t="shared" si="1"/>
        <v>0.11184559218009438</v>
      </c>
      <c r="H22" s="284">
        <f t="shared" si="1"/>
        <v>0.11174402821513675</v>
      </c>
      <c r="I22" s="276">
        <f t="shared" si="1"/>
        <v>8.2087500600133131E-2</v>
      </c>
      <c r="J22" s="277">
        <f t="shared" si="1"/>
        <v>0.20942070008752234</v>
      </c>
      <c r="K22" s="278">
        <f t="shared" si="1"/>
        <v>4.3591429081968953E-2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6jgiICfBycCJuJkmHdAtIa8/L1KHZVk4ot0KG0Vi7LjIEC4RDZHrtk1ZBx0w2tXFhGxOre20vAhdWeeyVMwA3A==" saltValue="LYzo1oOz4UE2CUSPUyMit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COMUNIDAD VALENCIANA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6</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22.394029850746268</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103</v>
      </c>
      <c r="D10" s="224">
        <f>IF(ISNUMBER(Datos!I10),Datos!I10," - ")</f>
        <v>103</v>
      </c>
      <c r="E10" s="225">
        <f>IF(ISNUMBER(Datos!J10),Datos!J10," - ")</f>
        <v>66</v>
      </c>
      <c r="F10" s="225">
        <f>IF(ISNUMBER(Datos!K10),Datos!K10," - ")</f>
        <v>82</v>
      </c>
      <c r="G10" s="1029" t="str">
        <f>IF(Datos!E10&lt;&gt;"",Datos!E10,Datos!D10)</f>
        <v>37</v>
      </c>
      <c r="H10" s="226">
        <f>IF(ISNUMBER(Datos!L10),Datos!L10," - ")</f>
        <v>87</v>
      </c>
      <c r="I10" s="1039" t="str">
        <f>IF(ISNUMBER(Datos!AS10/Datos!BM10),Datos!AS10/Datos!BM10," - ")</f>
        <v xml:space="preserve"> - </v>
      </c>
      <c r="J10" s="1040">
        <f>IF(ISNUMBER(Datos!BY10/Datos!CN10),Datos!BY10/Datos!CN10," - ")</f>
        <v>0</v>
      </c>
      <c r="K10" s="229">
        <f t="shared" ref="K10:K12" si="1">IF(ISNUMBER((E10-F10)/C10),(E10-F10)/C10," - ")</f>
        <v>-0.1553398058252427</v>
      </c>
      <c r="L10" s="1020">
        <f>IF(ISNUMBER(NºAsuntos!I10/NºAsuntos!G10),(NºAsuntos!I10/NºAsuntos!G10)*11," - ")</f>
        <v>11.670731707317074</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103</v>
      </c>
      <c r="D13" s="1044">
        <f>SUBTOTAL(9,D9:D12)</f>
        <v>103</v>
      </c>
      <c r="E13" s="1045">
        <f>SUBTOTAL(9,E9:E12)</f>
        <v>66</v>
      </c>
      <c r="F13" s="1046">
        <f>SUBTOTAL(9,F9:F12)</f>
        <v>82</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3</v>
      </c>
      <c r="B15" s="501" t="str">
        <f>Datos!A15</f>
        <v xml:space="preserve">Seccion Instruccion Del T.I.                   </v>
      </c>
      <c r="C15" s="224">
        <f t="shared" ref="C15:C18" si="2">IF(ISNUMBER(H15-E15+F15),H15-E15+F15," - ")</f>
        <v>3025</v>
      </c>
      <c r="D15" s="224">
        <f>IF(ISNUMBER(IF(D_I="SI",Datos!I15,Datos!I15+Datos!AC15)),IF(D_I="SI",Datos!I15,Datos!I15+Datos!AC15)," - ")</f>
        <v>2994</v>
      </c>
      <c r="E15" s="225">
        <f>IF(ISNUMBER(IF(D_I="SI",Datos!J15,Datos!J15+Datos!AD15)),IF(D_I="SI",Datos!J15,Datos!J15+Datos!AD15)," - ")</f>
        <v>2179</v>
      </c>
      <c r="F15" s="225">
        <f>IF(ISNUMBER(IF(D_I="SI",Datos!K15,Datos!K15+Datos!AE15)),IF(D_I="SI",Datos!K15,Datos!K15+Datos!AE15)," - ")</f>
        <v>2151</v>
      </c>
      <c r="G15" s="1029" t="str">
        <f>IF(Datos!E15&lt;&gt;"",Datos!E15,Datos!D15)</f>
        <v>03</v>
      </c>
      <c r="H15" s="226">
        <f>IF(ISNUMBER(IF(D_I="SI",Datos!L15,Datos!L15+Datos!AF15)),IF(D_I="SI",Datos!L15,Datos!L15+Datos!AF15)," - ")</f>
        <v>3053</v>
      </c>
      <c r="I15" s="1039" t="str">
        <f>IF(ISNUMBER(Datos!AS15/Datos!BM15),Datos!AS15/Datos!BM15," - ")</f>
        <v xml:space="preserve"> - </v>
      </c>
      <c r="J15" s="1040">
        <f>IF(ISNUMBER(Datos!BY15/Datos!CN15),Datos!BY15/Datos!CN15," - ")</f>
        <v>0</v>
      </c>
      <c r="K15" s="229">
        <f t="shared" ref="K15:K18" si="3">IF(ISNUMBER((E15-F15)/C15),(E15-F15)/C15," - ")</f>
        <v>9.2561983471074385E-3</v>
      </c>
      <c r="L15" s="1020">
        <f>IF(ISNUMBER(NºAsuntos!I15/NºAsuntos!G15),(NºAsuntos!I15/NºAsuntos!G15)*11," - ")</f>
        <v>15.612738261273826</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462</v>
      </c>
      <c r="D18" s="224">
        <f>IF(ISNUMBER(IF(D_I="SI",Datos!I18,Datos!I18+Datos!AC18)),IF(D_I="SI",Datos!I18,Datos!I18+Datos!AC18)," - ")</f>
        <v>460</v>
      </c>
      <c r="E18" s="225">
        <f>IF(ISNUMBER(IF(D_I="SI",Datos!J18,Datos!J18+Datos!AD18)),IF(D_I="SI",Datos!J18,Datos!J18+Datos!AD18)," - ")</f>
        <v>450</v>
      </c>
      <c r="F18" s="225">
        <f>IF(ISNUMBER(IF(D_I="SI",Datos!K18,Datos!K18+Datos!AE18)),IF(D_I="SI",Datos!K18,Datos!K18+Datos!AE18)," - ")</f>
        <v>456</v>
      </c>
      <c r="G18" s="1029" t="str">
        <f>IF(Datos!E18&lt;&gt;"",Datos!E18,Datos!D18)</f>
        <v>37</v>
      </c>
      <c r="H18" s="226">
        <f>IF(ISNUMBER(IF(D_I="SI",Datos!L18,Datos!L18+Datos!AF18)),IF(D_I="SI",Datos!L18,Datos!L18+Datos!AF18)," - ")</f>
        <v>456</v>
      </c>
      <c r="I18" s="1039" t="str">
        <f>IF(ISNUMBER(Datos!AS18/Datos!BM18),Datos!AS18/Datos!BM18," - ")</f>
        <v xml:space="preserve"> - </v>
      </c>
      <c r="J18" s="1040" t="str">
        <f>IF(ISNUMBER((Datos!BY18+Datos!BZ18)/Datos!CN18),(Datos!BY18+Datos!BZ18)/Datos!CN18," - ")</f>
        <v xml:space="preserve"> - </v>
      </c>
      <c r="K18" s="229">
        <f t="shared" si="3"/>
        <v>-1.2987012987012988E-2</v>
      </c>
      <c r="L18" s="1020">
        <f>IF(ISNUMBER(NºAsuntos!I18/NºAsuntos!G18),(NºAsuntos!I18/NºAsuntos!G18)*11," - ")</f>
        <v>11</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3487</v>
      </c>
      <c r="D19" s="1044">
        <f>SUBTOTAL(9,D15:D18)</f>
        <v>3454</v>
      </c>
      <c r="E19" s="1045">
        <f>SUBTOTAL(9,E15:E18)</f>
        <v>2629</v>
      </c>
      <c r="F19" s="1045">
        <f>SUBTOTAL(9,F15:F18)</f>
        <v>2607</v>
      </c>
      <c r="G19" s="1047" t="str">
        <f ca="1">INDIRECT(CONCATENATE("G",ROW()-1))</f>
        <v>37</v>
      </c>
      <c r="H19" s="1048">
        <f ca="1">SUMIF(G$14:G18,G19,H$14:H18)</f>
        <v>456</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3590</v>
      </c>
      <c r="D20" s="1066">
        <f>SUBTOTAL(9,D9:D19)</f>
        <v>3557</v>
      </c>
      <c r="E20" s="1067">
        <f>SUBTOTAL(9,E9:E19)</f>
        <v>2695</v>
      </c>
      <c r="F20" s="1067">
        <f>SUBTOTAL(9,F9:F19)</f>
        <v>2689</v>
      </c>
      <c r="G20" s="1068"/>
      <c r="H20" s="1069">
        <f ca="1">SUMIF(B9:B19,"TOTAL",H9:H19)</f>
        <v>456</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jLfGVuNeI+w6fyb55WzuUrbE51hXL67upL4dip1RSHO737cMMqUibvnBcEYF3vFnRm6s+M56lg88vMh5T23Chg==" saltValue="L9ZTt2/VEnyIVHJz1nRSj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UObg4a8AD937sHPKR3eSNr6agbGcaQL+B6TycJFoVFN65C4mvyogduvWXU2OIdgJ3bM7a2vM3sM42IsLh+rxJQ==" saltValue="fE6psKLmBSaHeMl24WdfA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4974</v>
      </c>
      <c r="J9" s="180">
        <v>1664</v>
      </c>
      <c r="K9" s="180">
        <v>2094</v>
      </c>
      <c r="L9" s="180">
        <v>4546</v>
      </c>
      <c r="M9" s="180">
        <v>583</v>
      </c>
      <c r="N9" s="180">
        <v>783</v>
      </c>
      <c r="O9" s="180">
        <v>1329</v>
      </c>
      <c r="P9" s="180">
        <v>1286</v>
      </c>
      <c r="Q9" s="180">
        <v>632</v>
      </c>
      <c r="R9" s="180">
        <v>11193</v>
      </c>
      <c r="S9" s="180">
        <v>5980</v>
      </c>
      <c r="T9" s="180">
        <v>2400</v>
      </c>
      <c r="U9" s="180">
        <v>2745</v>
      </c>
      <c r="V9" s="180">
        <v>5635</v>
      </c>
      <c r="W9" s="180">
        <v>566</v>
      </c>
      <c r="X9" s="187">
        <v>1527</v>
      </c>
      <c r="Y9" s="190">
        <v>218</v>
      </c>
      <c r="Z9" s="180">
        <v>261</v>
      </c>
      <c r="AA9" s="180">
        <v>251</v>
      </c>
      <c r="AB9" s="180">
        <v>228</v>
      </c>
      <c r="AC9" s="180">
        <v>0</v>
      </c>
      <c r="AD9" s="180">
        <v>0</v>
      </c>
      <c r="AE9" s="180">
        <v>0</v>
      </c>
      <c r="AF9" s="187">
        <v>0</v>
      </c>
      <c r="AG9" s="190">
        <v>225</v>
      </c>
      <c r="AH9" s="180">
        <v>185</v>
      </c>
      <c r="AI9" s="180">
        <v>224</v>
      </c>
      <c r="AJ9" s="191">
        <v>186</v>
      </c>
      <c r="AK9" s="179">
        <v>0</v>
      </c>
      <c r="AL9" s="180">
        <v>0</v>
      </c>
      <c r="AM9" s="180">
        <v>0</v>
      </c>
      <c r="AN9" s="187">
        <v>0</v>
      </c>
      <c r="AO9" s="257">
        <v>6</v>
      </c>
      <c r="AP9" s="153">
        <v>6</v>
      </c>
      <c r="AQ9" s="153">
        <v>6</v>
      </c>
      <c r="AR9" s="192">
        <v>6</v>
      </c>
      <c r="AS9" s="337" t="s">
        <v>763</v>
      </c>
      <c r="AT9" s="194"/>
      <c r="AU9" s="193"/>
      <c r="AV9" s="194"/>
      <c r="AW9" s="193"/>
      <c r="AX9" s="194"/>
      <c r="AY9" s="123">
        <f>IF(ISNUMBER(IF(J_V="SI",S9,S9+AG9)),IF(J_V="SI",S9,S9+AG9)," - ")</f>
        <v>6205</v>
      </c>
      <c r="AZ9" s="123">
        <f>IF(ISNUMBER(IF(J_V="SI",T9,T9+AH9)),IF(J_V="SI",T9,T9+AH9)," - ")</f>
        <v>2585</v>
      </c>
      <c r="BA9" s="124">
        <f>IF(ISNUMBER(IF(J_V="SI",U9,U9+AI9)),IF(J_V="SI",U9,U9+AI9)," - ")</f>
        <v>2969</v>
      </c>
      <c r="BB9" s="124">
        <f>IF(ISNUMBER(IF(J_V="SI",V9,V9+AJ9)),IF(J_V="SI",V9,V9+AJ9)," - ")</f>
        <v>5821</v>
      </c>
      <c r="BC9" s="125">
        <f>IF(ISNUMBER(X9),X9," - ")</f>
        <v>1527</v>
      </c>
      <c r="BD9" s="126">
        <f>IF(ISNUMBER(BA9/AZ9),BA9/AZ9," - ")</f>
        <v>1.1485493230174082</v>
      </c>
      <c r="BE9" s="127">
        <f>IF(ISNUMBER(BB9/BA9),BB9/BA9, " - ")</f>
        <v>1.9605927921859212</v>
      </c>
      <c r="BF9" s="127">
        <f>IF(ISNUMBER(BC9/BA9),BC9/BA9, " - ")</f>
        <v>0.51431458403502861</v>
      </c>
      <c r="BG9" s="195">
        <f>IF(ISNUMBER((AY9+AZ9)/BA9),(AY9+AZ9)/BA9," - ")</f>
        <v>2.960592792185921</v>
      </c>
      <c r="BH9" s="153">
        <v>6</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103</v>
      </c>
      <c r="J10" s="180">
        <v>66</v>
      </c>
      <c r="K10" s="180">
        <v>82</v>
      </c>
      <c r="L10" s="180">
        <v>87</v>
      </c>
      <c r="M10" s="180">
        <v>25</v>
      </c>
      <c r="N10" s="180">
        <v>15</v>
      </c>
      <c r="O10" s="180">
        <v>15</v>
      </c>
      <c r="P10" s="180">
        <v>11</v>
      </c>
      <c r="Q10" s="180">
        <v>4</v>
      </c>
      <c r="R10" s="180">
        <v>112</v>
      </c>
      <c r="S10" s="180">
        <v>103</v>
      </c>
      <c r="T10" s="180">
        <v>62</v>
      </c>
      <c r="U10" s="180">
        <v>74</v>
      </c>
      <c r="V10" s="180">
        <v>91</v>
      </c>
      <c r="W10" s="180">
        <v>33</v>
      </c>
      <c r="X10" s="187">
        <v>26</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1</v>
      </c>
      <c r="AQ10" s="153">
        <v>1</v>
      </c>
      <c r="AR10" s="154">
        <v>1</v>
      </c>
      <c r="AS10" s="338" t="s">
        <v>757</v>
      </c>
      <c r="AT10" s="191"/>
      <c r="AU10" s="199"/>
      <c r="AV10" s="191"/>
      <c r="AW10" s="199"/>
      <c r="AX10" s="191"/>
      <c r="AY10" s="128">
        <f t="shared" ref="AY10:BC10" si="0">IF(ISNUMBER(S10),S10," - ")</f>
        <v>103</v>
      </c>
      <c r="AZ10" s="129">
        <f t="shared" si="0"/>
        <v>62</v>
      </c>
      <c r="BA10" s="129">
        <f t="shared" si="0"/>
        <v>74</v>
      </c>
      <c r="BB10" s="129">
        <f t="shared" si="0"/>
        <v>91</v>
      </c>
      <c r="BC10" s="125">
        <f t="shared" si="0"/>
        <v>33</v>
      </c>
      <c r="BD10" s="126">
        <f>IF(ISNUMBER(BA10/AZ10),BA10/AZ10," - ")</f>
        <v>1.1935483870967742</v>
      </c>
      <c r="BE10" s="127">
        <f>IF(ISNUMBER(BB10/BA10),BB10/BA10, " - ")</f>
        <v>1.2297297297297298</v>
      </c>
      <c r="BF10" s="127">
        <f>IF(ISNUMBER(BC10/BA10),BC10/BA10, " - ")</f>
        <v>0.44594594594594594</v>
      </c>
      <c r="BG10" s="195">
        <f>IF(ISNUMBER((AY10+AZ10)/BA10),(AY10+AZ10)/BA10," - ")</f>
        <v>2.2297297297297298</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5077</v>
      </c>
      <c r="J13" s="183">
        <f t="shared" si="6"/>
        <v>1730</v>
      </c>
      <c r="K13" s="183">
        <f t="shared" si="6"/>
        <v>2176</v>
      </c>
      <c r="L13" s="183">
        <f t="shared" si="6"/>
        <v>4633</v>
      </c>
      <c r="M13" s="183">
        <f t="shared" si="6"/>
        <v>608</v>
      </c>
      <c r="N13" s="183">
        <f t="shared" si="6"/>
        <v>798</v>
      </c>
      <c r="O13" s="183">
        <f t="shared" si="6"/>
        <v>1344</v>
      </c>
      <c r="P13" s="183">
        <f t="shared" si="6"/>
        <v>1297</v>
      </c>
      <c r="Q13" s="183">
        <f t="shared" si="6"/>
        <v>636</v>
      </c>
      <c r="R13" s="183">
        <f t="shared" si="6"/>
        <v>11305</v>
      </c>
      <c r="S13" s="183">
        <f t="shared" si="6"/>
        <v>6083</v>
      </c>
      <c r="T13" s="183">
        <f t="shared" si="6"/>
        <v>2462</v>
      </c>
      <c r="U13" s="183">
        <f t="shared" si="6"/>
        <v>2819</v>
      </c>
      <c r="V13" s="183">
        <f t="shared" si="6"/>
        <v>5726</v>
      </c>
      <c r="W13" s="183">
        <f t="shared" si="6"/>
        <v>599</v>
      </c>
      <c r="X13" s="183">
        <f t="shared" si="6"/>
        <v>1553</v>
      </c>
      <c r="Y13" s="183">
        <f t="shared" si="6"/>
        <v>218</v>
      </c>
      <c r="Z13" s="183">
        <f t="shared" si="6"/>
        <v>261</v>
      </c>
      <c r="AA13" s="183">
        <f t="shared" si="6"/>
        <v>251</v>
      </c>
      <c r="AB13" s="183">
        <f t="shared" si="6"/>
        <v>228</v>
      </c>
      <c r="AC13" s="183">
        <f t="shared" si="6"/>
        <v>0</v>
      </c>
      <c r="AD13" s="183">
        <f t="shared" si="6"/>
        <v>0</v>
      </c>
      <c r="AE13" s="183">
        <f t="shared" si="6"/>
        <v>0</v>
      </c>
      <c r="AF13" s="183">
        <f>SUBTOTAL(9,AF9:AF12)</f>
        <v>0</v>
      </c>
      <c r="AG13" s="183">
        <f t="shared" ref="AG13:AT13" si="7">SUBTOTAL(9,AG8:AG12)</f>
        <v>225</v>
      </c>
      <c r="AH13" s="183">
        <f t="shared" si="7"/>
        <v>185</v>
      </c>
      <c r="AI13" s="183">
        <f t="shared" si="7"/>
        <v>224</v>
      </c>
      <c r="AJ13" s="183">
        <f t="shared" si="7"/>
        <v>186</v>
      </c>
      <c r="AK13" s="183">
        <f t="shared" si="7"/>
        <v>0</v>
      </c>
      <c r="AL13" s="183">
        <f t="shared" si="7"/>
        <v>0</v>
      </c>
      <c r="AM13" s="183">
        <f t="shared" si="7"/>
        <v>0</v>
      </c>
      <c r="AN13" s="183">
        <f t="shared" si="7"/>
        <v>0</v>
      </c>
      <c r="AO13" s="183">
        <f t="shared" si="7"/>
        <v>7</v>
      </c>
      <c r="AP13" s="183">
        <f t="shared" si="7"/>
        <v>7</v>
      </c>
      <c r="AQ13" s="183">
        <f t="shared" si="7"/>
        <v>7</v>
      </c>
      <c r="AR13" s="183">
        <f t="shared" si="7"/>
        <v>7</v>
      </c>
      <c r="AS13" s="183">
        <f t="shared" si="7"/>
        <v>0</v>
      </c>
      <c r="AT13" s="183">
        <f t="shared" si="7"/>
        <v>0</v>
      </c>
      <c r="AU13" s="203"/>
      <c r="AV13" s="132"/>
      <c r="AW13" s="203"/>
      <c r="AX13" s="132"/>
      <c r="AY13" s="183">
        <f>SUBTOTAL(9,AY8:AY12)</f>
        <v>6308</v>
      </c>
      <c r="AZ13" s="183">
        <f>SUBTOTAL(9,AZ8:AZ12)</f>
        <v>2647</v>
      </c>
      <c r="BA13" s="183">
        <f>SUBTOTAL(9,BA8:BA12)</f>
        <v>3043</v>
      </c>
      <c r="BB13" s="183">
        <f>SUBTOTAL(9,BB8:BB12)</f>
        <v>5912</v>
      </c>
      <c r="BC13" s="183">
        <f>SUBTOTAL(9,BC8:BC12)</f>
        <v>1560</v>
      </c>
      <c r="BD13" s="204">
        <f>IF(ISNUMBER(BA13/AZ13),BA13/AZ13," - ")</f>
        <v>1.1496033245183226</v>
      </c>
      <c r="BE13" s="205">
        <f>IF(ISNUMBER(BB13/BA13),BB13/BA13, " - ")</f>
        <v>1.9428195859349326</v>
      </c>
      <c r="BF13" s="205">
        <f>IF(ISNUMBER(BC13/BA13),BC13/BA13, " - ")</f>
        <v>0.51265198816956947</v>
      </c>
      <c r="BG13" s="206">
        <f>IF(ISNUMBER((AY13+AZ13)/BA13),(AY13+AZ13)/BA13," - ")</f>
        <v>2.9428195859349326</v>
      </c>
      <c r="BH13" s="139">
        <f>SUBTOTAL(9,BH8:BH12)</f>
        <v>7</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2994</v>
      </c>
      <c r="J15" s="182">
        <v>2179</v>
      </c>
      <c r="K15" s="182">
        <v>2151</v>
      </c>
      <c r="L15" s="182">
        <v>3053</v>
      </c>
      <c r="M15" s="182">
        <v>395</v>
      </c>
      <c r="N15" s="182">
        <v>1117</v>
      </c>
      <c r="O15" s="180">
        <v>72</v>
      </c>
      <c r="P15" s="182">
        <v>129</v>
      </c>
      <c r="Q15" s="182">
        <v>131</v>
      </c>
      <c r="R15" s="182">
        <v>344</v>
      </c>
      <c r="S15" s="182">
        <v>2680</v>
      </c>
      <c r="T15" s="182">
        <v>2112</v>
      </c>
      <c r="U15" s="182">
        <v>2035</v>
      </c>
      <c r="V15" s="182">
        <v>2786</v>
      </c>
      <c r="W15" s="182">
        <v>387</v>
      </c>
      <c r="X15" s="188">
        <v>834</v>
      </c>
      <c r="Y15" s="201">
        <v>0</v>
      </c>
      <c r="Z15" s="182">
        <v>0</v>
      </c>
      <c r="AA15" s="182">
        <v>0</v>
      </c>
      <c r="AB15" s="182">
        <v>0</v>
      </c>
      <c r="AC15" s="182">
        <v>0</v>
      </c>
      <c r="AD15" s="182">
        <v>1</v>
      </c>
      <c r="AE15" s="182">
        <v>1</v>
      </c>
      <c r="AF15" s="188">
        <v>0</v>
      </c>
      <c r="AG15" s="201">
        <v>0</v>
      </c>
      <c r="AH15" s="182">
        <v>0</v>
      </c>
      <c r="AI15" s="182">
        <v>0</v>
      </c>
      <c r="AJ15" s="202">
        <v>0</v>
      </c>
      <c r="AK15" s="181">
        <v>0</v>
      </c>
      <c r="AL15" s="182">
        <v>0</v>
      </c>
      <c r="AM15" s="182">
        <v>0</v>
      </c>
      <c r="AN15" s="188">
        <v>0</v>
      </c>
      <c r="AO15" s="258">
        <v>3</v>
      </c>
      <c r="AP15" s="154">
        <v>3</v>
      </c>
      <c r="AQ15" s="154">
        <v>3</v>
      </c>
      <c r="AR15" s="154">
        <v>3</v>
      </c>
      <c r="AS15" s="339" t="s">
        <v>520</v>
      </c>
      <c r="AT15" s="202" t="s">
        <v>327</v>
      </c>
      <c r="AU15" s="201"/>
      <c r="AV15" s="202"/>
      <c r="AW15" s="201"/>
      <c r="AX15" s="202"/>
      <c r="AY15" s="128">
        <f t="shared" ref="AY15:BB17" si="9">IF(ISNUMBER(IF(D_I="SI",S15,S15+AK15)),IF(D_I="SI",S15,S15+AK15)," - ")</f>
        <v>2680</v>
      </c>
      <c r="AZ15" s="129">
        <f t="shared" si="9"/>
        <v>2112</v>
      </c>
      <c r="BA15" s="129">
        <f t="shared" si="9"/>
        <v>2035</v>
      </c>
      <c r="BB15" s="129">
        <f t="shared" si="9"/>
        <v>2786</v>
      </c>
      <c r="BC15" s="125">
        <f>IF(ISNUMBER(W15),W15," - ")</f>
        <v>387</v>
      </c>
      <c r="BD15" s="126">
        <f>IF(ISNUMBER(BA15/AZ15),BA15/AZ15," - ")</f>
        <v>0.96354166666666663</v>
      </c>
      <c r="BE15" s="127">
        <f>IF(ISNUMBER(BB15/BA15),BB15/BA15, " - ")</f>
        <v>1.3690417690417691</v>
      </c>
      <c r="BF15" s="127">
        <f>IF(ISNUMBER(BC15/BA15),BC15/BA15, " - ")</f>
        <v>0.19017199017199019</v>
      </c>
      <c r="BG15" s="195">
        <f t="shared" ref="BG15:BG17" si="10">IF(ISNUMBER((AY15+AZ15)/BA15),(AY15+AZ15)/BA15," - ")</f>
        <v>2.3547911547911546</v>
      </c>
      <c r="BH15" s="154">
        <v>3</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460</v>
      </c>
      <c r="J18" s="182">
        <v>450</v>
      </c>
      <c r="K18" s="182">
        <v>456</v>
      </c>
      <c r="L18" s="182">
        <v>456</v>
      </c>
      <c r="M18" s="182">
        <v>68</v>
      </c>
      <c r="N18" s="182">
        <v>272</v>
      </c>
      <c r="O18" s="182">
        <v>0</v>
      </c>
      <c r="P18" s="182">
        <v>14</v>
      </c>
      <c r="Q18" s="182">
        <v>19</v>
      </c>
      <c r="R18" s="182">
        <v>10</v>
      </c>
      <c r="S18" s="182">
        <v>352</v>
      </c>
      <c r="T18" s="182">
        <v>430</v>
      </c>
      <c r="U18" s="182">
        <v>411</v>
      </c>
      <c r="V18" s="182">
        <v>371</v>
      </c>
      <c r="W18" s="182">
        <v>79</v>
      </c>
      <c r="X18" s="188">
        <v>146</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1</v>
      </c>
      <c r="AQ18" s="153">
        <v>1</v>
      </c>
      <c r="AR18" s="154">
        <v>1</v>
      </c>
      <c r="AS18" s="338" t="s">
        <v>879</v>
      </c>
      <c r="AT18" s="208"/>
      <c r="AU18" s="199"/>
      <c r="AV18" s="208"/>
      <c r="AW18" s="199"/>
      <c r="AX18" s="208"/>
      <c r="AY18" s="128">
        <f t="shared" ref="AY18:BB18" si="19">IF(ISNUMBER(S18),S18," - ")</f>
        <v>352</v>
      </c>
      <c r="AZ18" s="129">
        <f t="shared" si="19"/>
        <v>430</v>
      </c>
      <c r="BA18" s="129">
        <f t="shared" si="19"/>
        <v>411</v>
      </c>
      <c r="BB18" s="129">
        <f t="shared" si="19"/>
        <v>371</v>
      </c>
      <c r="BC18" s="125">
        <f>IF(ISNUMBER(W18),W18," - ")</f>
        <v>79</v>
      </c>
      <c r="BD18" s="126">
        <f>IF(ISNUMBER(BA18/AZ18),BA18/AZ18," - ")</f>
        <v>0.95581395348837206</v>
      </c>
      <c r="BE18" s="127">
        <f>IF(ISNUMBER(BB18/BA18),BB18/BA18, " - ")</f>
        <v>0.902676399026764</v>
      </c>
      <c r="BF18" s="127">
        <f>IF(ISNUMBER(BC18/BA18),BC18/BA18, " - ")</f>
        <v>0.19221411192214111</v>
      </c>
      <c r="BG18" s="195">
        <f>IF(ISNUMBER((AY18+AZ18)/BA18),(AY18+AZ18)/BA18," - ")</f>
        <v>1.9026763990267639</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3454</v>
      </c>
      <c r="J19" s="183">
        <f t="shared" si="20"/>
        <v>2629</v>
      </c>
      <c r="K19" s="183">
        <f t="shared" si="20"/>
        <v>2607</v>
      </c>
      <c r="L19" s="183">
        <f t="shared" si="20"/>
        <v>3509</v>
      </c>
      <c r="M19" s="183">
        <f t="shared" si="20"/>
        <v>463</v>
      </c>
      <c r="N19" s="183">
        <f t="shared" si="20"/>
        <v>1389</v>
      </c>
      <c r="O19" s="183">
        <f t="shared" si="20"/>
        <v>72</v>
      </c>
      <c r="P19" s="183">
        <f t="shared" si="20"/>
        <v>143</v>
      </c>
      <c r="Q19" s="183">
        <f t="shared" si="20"/>
        <v>150</v>
      </c>
      <c r="R19" s="183">
        <f t="shared" si="20"/>
        <v>354</v>
      </c>
      <c r="S19" s="183">
        <f t="shared" si="20"/>
        <v>3032</v>
      </c>
      <c r="T19" s="183">
        <f t="shared" si="20"/>
        <v>2542</v>
      </c>
      <c r="U19" s="183">
        <f t="shared" si="20"/>
        <v>2446</v>
      </c>
      <c r="V19" s="183">
        <f t="shared" si="20"/>
        <v>3157</v>
      </c>
      <c r="W19" s="183">
        <f t="shared" si="20"/>
        <v>466</v>
      </c>
      <c r="X19" s="183">
        <f t="shared" si="20"/>
        <v>980</v>
      </c>
      <c r="Y19" s="183">
        <f t="shared" si="20"/>
        <v>0</v>
      </c>
      <c r="Z19" s="183">
        <f t="shared" si="20"/>
        <v>0</v>
      </c>
      <c r="AA19" s="183">
        <f t="shared" si="20"/>
        <v>0</v>
      </c>
      <c r="AB19" s="183">
        <f t="shared" si="20"/>
        <v>0</v>
      </c>
      <c r="AC19" s="183">
        <f t="shared" si="20"/>
        <v>0</v>
      </c>
      <c r="AD19" s="183">
        <f t="shared" si="20"/>
        <v>1</v>
      </c>
      <c r="AE19" s="183">
        <f t="shared" si="20"/>
        <v>1</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4</v>
      </c>
      <c r="AP19" s="183">
        <f t="shared" si="20"/>
        <v>4</v>
      </c>
      <c r="AQ19" s="183">
        <f t="shared" si="20"/>
        <v>4</v>
      </c>
      <c r="AR19" s="183">
        <f t="shared" si="20"/>
        <v>4</v>
      </c>
      <c r="AS19" s="183">
        <f t="shared" si="20"/>
        <v>0</v>
      </c>
      <c r="AT19" s="183">
        <f t="shared" si="20"/>
        <v>0</v>
      </c>
      <c r="AU19" s="203"/>
      <c r="AV19" s="132"/>
      <c r="AW19" s="203"/>
      <c r="AX19" s="132"/>
      <c r="AY19" s="183">
        <f>SUBTOTAL(9,AY14:AY18)</f>
        <v>3032</v>
      </c>
      <c r="AZ19" s="183">
        <f>SUBTOTAL(9,AZ14:AZ18)</f>
        <v>2542</v>
      </c>
      <c r="BA19" s="183">
        <f>SUBTOTAL(9,BA14:BA18)</f>
        <v>2446</v>
      </c>
      <c r="BB19" s="183">
        <f>SUBTOTAL(9,BB14:BB18)</f>
        <v>3157</v>
      </c>
      <c r="BC19" s="183">
        <f>SUBTOTAL(9,BC14:BC18)</f>
        <v>466</v>
      </c>
      <c r="BD19" s="204">
        <f>IF(ISNUMBER(BA19/AZ19),BA19/AZ19," - ")</f>
        <v>0.962234461054288</v>
      </c>
      <c r="BE19" s="205">
        <f>IF(ISNUMBER(BB19/BA19),BB19/BA19, " - ")</f>
        <v>1.2906786590351595</v>
      </c>
      <c r="BF19" s="205">
        <f>IF(ISNUMBER(BC19/BA19),BC19/BA19, " - ")</f>
        <v>0.19051512673753065</v>
      </c>
      <c r="BG19" s="206">
        <f>IF(ISNUMBER((AY19+AZ19)/BA19),(AY19+AZ19)/BA19," - ")</f>
        <v>2.2788225674570728</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8531</v>
      </c>
      <c r="J20" s="134">
        <f t="shared" si="23"/>
        <v>4359</v>
      </c>
      <c r="K20" s="134">
        <f t="shared" si="23"/>
        <v>4783</v>
      </c>
      <c r="L20" s="134">
        <f t="shared" si="23"/>
        <v>8142</v>
      </c>
      <c r="M20" s="134">
        <f t="shared" si="23"/>
        <v>1071</v>
      </c>
      <c r="N20" s="134">
        <f t="shared" si="23"/>
        <v>2187</v>
      </c>
      <c r="O20" s="134">
        <f t="shared" si="23"/>
        <v>1416</v>
      </c>
      <c r="P20" s="134">
        <f t="shared" si="23"/>
        <v>1440</v>
      </c>
      <c r="Q20" s="134">
        <f t="shared" si="23"/>
        <v>786</v>
      </c>
      <c r="R20" s="134">
        <f t="shared" si="23"/>
        <v>11659</v>
      </c>
      <c r="S20" s="134">
        <f t="shared" si="23"/>
        <v>9115</v>
      </c>
      <c r="T20" s="134">
        <f t="shared" si="23"/>
        <v>5004</v>
      </c>
      <c r="U20" s="134">
        <f t="shared" si="23"/>
        <v>5265</v>
      </c>
      <c r="V20" s="134">
        <f t="shared" si="23"/>
        <v>8883</v>
      </c>
      <c r="W20" s="134">
        <f t="shared" si="23"/>
        <v>1065</v>
      </c>
      <c r="X20" s="134">
        <f t="shared" si="23"/>
        <v>2533</v>
      </c>
      <c r="Y20" s="134">
        <f t="shared" si="23"/>
        <v>218</v>
      </c>
      <c r="Z20" s="134">
        <f t="shared" si="23"/>
        <v>261</v>
      </c>
      <c r="AA20" s="134">
        <f t="shared" si="23"/>
        <v>251</v>
      </c>
      <c r="AB20" s="134">
        <f t="shared" si="23"/>
        <v>228</v>
      </c>
      <c r="AC20" s="134">
        <f t="shared" si="23"/>
        <v>0</v>
      </c>
      <c r="AD20" s="134">
        <f t="shared" si="23"/>
        <v>1</v>
      </c>
      <c r="AE20" s="134">
        <f t="shared" si="23"/>
        <v>1</v>
      </c>
      <c r="AF20" s="134">
        <f t="shared" si="23"/>
        <v>0</v>
      </c>
      <c r="AG20" s="134">
        <f t="shared" si="23"/>
        <v>225</v>
      </c>
      <c r="AH20" s="134">
        <f t="shared" si="23"/>
        <v>185</v>
      </c>
      <c r="AI20" s="134">
        <f t="shared" si="23"/>
        <v>224</v>
      </c>
      <c r="AJ20" s="134">
        <f t="shared" si="23"/>
        <v>186</v>
      </c>
      <c r="AK20" s="134">
        <f t="shared" si="23"/>
        <v>0</v>
      </c>
      <c r="AL20" s="134">
        <f t="shared" si="23"/>
        <v>0</v>
      </c>
      <c r="AM20" s="134">
        <f t="shared" si="23"/>
        <v>0</v>
      </c>
      <c r="AN20" s="209">
        <f t="shared" si="23"/>
        <v>0</v>
      </c>
      <c r="AO20" s="210">
        <v>10</v>
      </c>
      <c r="AP20" s="210">
        <v>10</v>
      </c>
      <c r="AQ20" s="210">
        <v>10</v>
      </c>
      <c r="AR20" s="210">
        <v>10</v>
      </c>
      <c r="AS20" s="152">
        <f t="shared" si="23"/>
        <v>0</v>
      </c>
      <c r="AT20" s="152">
        <f t="shared" si="23"/>
        <v>0</v>
      </c>
      <c r="AU20" s="210"/>
      <c r="AV20" s="211"/>
      <c r="AW20" s="210"/>
      <c r="AX20" s="211"/>
      <c r="AY20" s="133">
        <f>SUBTOTAL(9,AY9:AY19)</f>
        <v>9340</v>
      </c>
      <c r="AZ20" s="134">
        <f>SUBTOTAL(9,AZ9:AZ19)</f>
        <v>5189</v>
      </c>
      <c r="BA20" s="134">
        <f>SUBTOTAL(9,BA9:BA19)</f>
        <v>5489</v>
      </c>
      <c r="BB20" s="134">
        <f>SUBTOTAL(9,BB9:BB19)</f>
        <v>9069</v>
      </c>
      <c r="BC20" s="135">
        <f>SUBTOTAL(9,BC9:BC19)</f>
        <v>2026</v>
      </c>
      <c r="BD20" s="212">
        <f>IF(ISNUMBER(BA20/AZ20),BA20/AZ20," - ")</f>
        <v>1.0578146078242436</v>
      </c>
      <c r="BE20" s="209">
        <f>IF(ISNUMBER(BB20/BA20),BB20/BA20, " - ")</f>
        <v>1.6522135179449808</v>
      </c>
      <c r="BF20" s="209">
        <f>IF(ISNUMBER(BC20/BA20),BC20/BA20, " - ")</f>
        <v>0.36910184004372382</v>
      </c>
      <c r="BG20" s="135">
        <f>IF(ISNUMBER((AY20+AZ20)/BA20),(AY20+AZ20)/BA20," - ")</f>
        <v>2.6469302240845325</v>
      </c>
      <c r="BH20" s="210">
        <f>SUBTOTAL(9,BH9:BH19)</f>
        <v>11</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RuOytbORflEHjho0eXL9zmIKnjHAdfQqFX7K2NdRd1z2LuTeYF4eaU/MPuPZrawWZQb8JsmmsVr5NZHeRTcftA==" saltValue="lYXg5FSPpZvX5Vc8Foisa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QHTHEr1L9tvhZylmULMSbFJnHCZWcT/SOs9Uw40dck64bE+pCf7NuDtZzb6EtNG4+A1mUBo7p5CBIGTc+f44ZA==" saltValue="FXYq6FIztupZ9x9sPItMI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COMUNIDAD VALENCIANA</v>
      </c>
    </row>
    <row r="2" spans="1:78" ht="16.5" customHeight="1">
      <c r="C2" s="487" t="str">
        <f>Criterios!A10 &amp;"  "&amp;Criterios!B10 &amp; "  " &amp; IF(NOT(ISBLANK(Criterios!A11)),Criterios!A11 &amp;"  "&amp;Criterios!B11,"")</f>
        <v>Provincias  VALENCIA  Resumenes por Partidos Judiciales  TORRENT</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6</v>
      </c>
      <c r="B9" s="500" t="s">
        <v>247</v>
      </c>
      <c r="C9" s="159" t="str">
        <f>Datos!A9</f>
        <v>Sección Civil del T.I</v>
      </c>
      <c r="D9" s="501"/>
      <c r="E9" s="259">
        <f>IF(ISNUMBER(Datos!AQ9),Datos!AQ9," - ")</f>
        <v>6</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261</v>
      </c>
      <c r="O9" s="333"/>
      <c r="P9" s="333"/>
      <c r="Q9" s="225">
        <f>IF(ISNUMBER(Datos!P9),Datos!P9,0)</f>
        <v>1286</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632</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228</v>
      </c>
      <c r="AI9" s="333" t="str">
        <f>IF(ISNUMBER(Datos!CD9),Datos!CD9,"-")</f>
        <v>-</v>
      </c>
      <c r="AJ9" s="333" t="str">
        <f>IF(ISNUMBER(Datos!EN9),Datos!EN9," - ")</f>
        <v xml:space="preserve"> - </v>
      </c>
      <c r="AK9" s="333"/>
      <c r="AL9" s="478"/>
      <c r="AM9" s="334">
        <f>IF(ISNUMBER(Datos!R9),Datos!R9," - ")</f>
        <v>11193</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583</v>
      </c>
      <c r="BD9" s="228">
        <f>IF(ISNUMBER(Datos!N9),Datos!N9," - ")</f>
        <v>783</v>
      </c>
      <c r="BE9" s="228" t="str">
        <f>IF(ISNUMBER(Datos!BW9),Datos!BW9," - ")</f>
        <v xml:space="preserve"> - </v>
      </c>
      <c r="BF9" s="227" t="str">
        <f>IF(ISNUMBER(Datos!BX9),Datos!BX9," - ")</f>
        <v xml:space="preserve"> - </v>
      </c>
      <c r="BG9" s="242">
        <f>IF(ISNUMBER(IF(J_V="SI",Datos!K9/Datos!J9,(Datos!K9+Datos!AA9)/(Datos!J9+Datos!Z9))),IF(J_V="SI",Datos!K9/Datos!J9,(Datos!K9+Datos!AA9)/(Datos!J9+Datos!Z9))," - ")</f>
        <v>1.2181818181818183</v>
      </c>
      <c r="BH9" s="259">
        <f>IF(ISNUMBER(((IF(J_V="SI",Datos!L9/Datos!K9,(Datos!L9+Datos!AB9)/(Datos!K9+Datos!AA9)))*11)/factor_trimestre),((IF(J_V="SI",Datos!L9/Datos!K9,(Datos!L9+Datos!AB9)/(Datos!K9+Datos!AA9)))*11)/factor_trimestre," - ")</f>
        <v>6.107462686567164</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6.2055223455735838E-2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1</v>
      </c>
      <c r="F10" s="224">
        <f>IF(ISNUMBER(Datos!L10+Datos!K10-Datos!J10),Datos!L10+Datos!K10-Datos!J10," - ")</f>
        <v>103</v>
      </c>
      <c r="G10" s="332">
        <f>IF(ISNUMBER(Datos!I10),Datos!I10," - ")</f>
        <v>103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82</v>
      </c>
      <c r="AC10" s="225">
        <f>IF(ISNUMBER(Datos!Q10),Datos!Q10," - ")</f>
        <v>4</v>
      </c>
      <c r="AD10" s="333"/>
      <c r="AE10" s="483"/>
      <c r="AF10" s="331">
        <f>IF(ISNUMBER(Datos!L10),Datos!L10,"-")</f>
        <v>87</v>
      </c>
      <c r="AG10" s="333"/>
      <c r="AH10" s="333"/>
      <c r="AI10" s="333"/>
      <c r="AJ10" s="333"/>
      <c r="AK10" s="333"/>
      <c r="AL10" s="478"/>
      <c r="AM10" s="334">
        <f>IF(ISNUMBER(Datos!R10),Datos!R10," - ")</f>
        <v>112</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25</v>
      </c>
      <c r="BD10" s="228">
        <f>IF(ISNUMBER(Datos!N10),Datos!N10," - ")</f>
        <v>15</v>
      </c>
      <c r="BE10" s="228" t="str">
        <f>IF(ISNUMBER(Datos!BW10),Datos!BW10," - ")</f>
        <v xml:space="preserve"> - </v>
      </c>
      <c r="BF10" s="227" t="str">
        <f>IF(ISNUMBER(Datos!BX10),Datos!BX10," - ")</f>
        <v xml:space="preserve"> - </v>
      </c>
      <c r="BG10" s="242">
        <f>IF(ISNUMBER(Datos!K10/Datos!J10),Datos!K10/Datos!J10," - ")</f>
        <v>1.2424242424242424</v>
      </c>
      <c r="BH10" s="259">
        <f>IF(ISNUMBER(((Datos!L10/Datos!K10)*11)/factor_trimestre),((Datos!L10/Datos!K10)*11)/factor_trimestre," - ")</f>
        <v>3.1829268292682933</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6.6666666666666666E-2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7</v>
      </c>
      <c r="F13" s="895">
        <f t="shared" si="0"/>
        <v>103</v>
      </c>
      <c r="G13" s="895">
        <f t="shared" si="0"/>
        <v>103</v>
      </c>
      <c r="H13" s="896">
        <f t="shared" si="0"/>
        <v>0</v>
      </c>
      <c r="I13" s="895">
        <f t="shared" si="0"/>
        <v>0</v>
      </c>
      <c r="J13" s="864">
        <f t="shared" si="0"/>
        <v>0</v>
      </c>
      <c r="K13" s="864">
        <f t="shared" si="0"/>
        <v>0</v>
      </c>
      <c r="L13" s="896">
        <f t="shared" si="0"/>
        <v>0</v>
      </c>
      <c r="M13" s="896">
        <f t="shared" si="0"/>
        <v>0</v>
      </c>
      <c r="N13" s="896">
        <f t="shared" si="0"/>
        <v>261</v>
      </c>
      <c r="O13" s="897">
        <f t="shared" si="0"/>
        <v>0</v>
      </c>
      <c r="P13" s="897">
        <f t="shared" si="0"/>
        <v>0</v>
      </c>
      <c r="Q13" s="896">
        <f t="shared" si="0"/>
        <v>1297</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82</v>
      </c>
      <c r="AC13" s="896">
        <f t="shared" si="1"/>
        <v>636</v>
      </c>
      <c r="AD13" s="896">
        <f t="shared" si="1"/>
        <v>0</v>
      </c>
      <c r="AE13" s="896">
        <f t="shared" si="1"/>
        <v>0</v>
      </c>
      <c r="AF13" s="896">
        <f t="shared" si="1"/>
        <v>87</v>
      </c>
      <c r="AG13" s="896">
        <f t="shared" si="1"/>
        <v>0</v>
      </c>
      <c r="AH13" s="896">
        <f t="shared" si="1"/>
        <v>228</v>
      </c>
      <c r="AI13" s="896">
        <f t="shared" si="1"/>
        <v>0</v>
      </c>
      <c r="AJ13" s="896">
        <f t="shared" si="1"/>
        <v>0</v>
      </c>
      <c r="AK13" s="896">
        <f t="shared" si="1"/>
        <v>0</v>
      </c>
      <c r="AL13" s="896">
        <f t="shared" si="1"/>
        <v>0</v>
      </c>
      <c r="AM13" s="896">
        <f t="shared" si="1"/>
        <v>11305</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608</v>
      </c>
      <c r="BD13" s="896">
        <f t="shared" si="1"/>
        <v>798</v>
      </c>
      <c r="BE13" s="896">
        <f t="shared" si="1"/>
        <v>0</v>
      </c>
      <c r="BF13" s="896">
        <f t="shared" si="1"/>
        <v>0</v>
      </c>
      <c r="BG13" s="896">
        <f>IF(ISNUMBER(Datos!K13/Datos!J13),Datos!K13/Datos!J13," - ")</f>
        <v>1.2578034682080925</v>
      </c>
      <c r="BH13" s="900">
        <f>IF(ISNUMBER(((Datos!L13/Datos!K13)*11)/factor_trimestre),((Datos!L13/Datos!K13)*11)/factor_trimestre," - ")</f>
        <v>6.3874080882352935</v>
      </c>
      <c r="BI13" s="896">
        <f>IF(ISNUMBER('Resol  Asuntos'!D13/NºAsuntos!G13),'Resol  Asuntos'!D13/NºAsuntos!G13," - ")</f>
        <v>0.25051503914297485</v>
      </c>
      <c r="BJ13" s="896" t="str">
        <f>IF(ISNUMBER(Datos!CI13/Datos!CJ13),Datos!CI13/Datos!CJ13," - ")</f>
        <v xml:space="preserve"> - </v>
      </c>
      <c r="BK13" s="896">
        <f>SUBTOTAL(9,BK8:BK12)</f>
        <v>0</v>
      </c>
      <c r="BL13" s="896">
        <f>IF(ISNUMBER((I13-AB13+L13)/(F13)),(I13-AB13+L13)/(F13)," - ")</f>
        <v>-0.79611650485436891</v>
      </c>
      <c r="BM13" s="901">
        <f>SUBTOTAL(9,BM9:BM12)</f>
        <v>0.12872189012240251</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3</v>
      </c>
      <c r="B15" s="593" t="s">
        <v>397</v>
      </c>
      <c r="C15" s="598" t="str">
        <f>Datos!A15</f>
        <v xml:space="preserve">Seccion Instruccion Del T.I.                   </v>
      </c>
      <c r="D15" s="599"/>
      <c r="E15" s="1160">
        <f>IF(ISNUMBER(Datos!AQ15),Datos!AQ15," - ")</f>
        <v>3</v>
      </c>
      <c r="F15" s="594">
        <f>IF(ISNUMBER(AF15+AB15-Datos!J15-L15),AF15+AB15-Datos!J15-L15," - ")</f>
        <v>3025</v>
      </c>
      <c r="G15" s="596">
        <f>IF(ISNUMBER(IF(D_I="SI",Datos!I15,Datos!I15+Datos!AC15)),IF(D_I="SI",Datos!I15,Datos!I15+Datos!AC15)," - ")</f>
        <v>2994</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129</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2151</v>
      </c>
      <c r="AC15" s="225">
        <f>IF(ISNUMBER(Datos!Q15),Datos!Q15," - ")</f>
        <v>131</v>
      </c>
      <c r="AD15" s="333"/>
      <c r="AE15" s="483"/>
      <c r="AF15" s="1192">
        <f>IF(ISNUMBER(IF(D_I="SI",Datos!L15,Datos!L15+Datos!AF15)),IF(D_I="SI",Datos!L15,Datos!L15+Datos!AF15)," - ")</f>
        <v>3053</v>
      </c>
      <c r="AG15" s="333"/>
      <c r="AH15" s="333"/>
      <c r="AI15" s="333"/>
      <c r="AJ15" s="333"/>
      <c r="AK15" s="333"/>
      <c r="AL15" s="478"/>
      <c r="AM15" s="334">
        <f>IF(ISNUMBER(Datos!R15),Datos!R15," - ")</f>
        <v>344</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395</v>
      </c>
      <c r="BD15" s="228">
        <f>IF(ISNUMBER(Datos!N15),Datos!N15," - ")</f>
        <v>1117</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0.98715006883891698</v>
      </c>
      <c r="BH15" s="259">
        <f>IF(ISNUMBER(((IF(D_I="SI",Datos!L15/Datos!K15,(Datos!L15+Datos!AF15)/(Datos!K15+Datos!AE15)))*11)/factor_trimestre),((IF(D_I="SI",Datos!L15/Datos!K15,(Datos!L15+Datos!AF15)/(Datos!K15+Datos!AE15)))*11)/factor_trimestre," - ")</f>
        <v>4.2580195258019531</v>
      </c>
      <c r="BI15" s="242">
        <f>IF(ISNUMBER('Resol  Asuntos'!D15/NºAsuntos!G15),'Resol  Asuntos'!D15/NºAsuntos!G15," - ")</f>
        <v>0.18363551836355183</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460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14</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456</v>
      </c>
      <c r="AC18" s="225">
        <f>IF(ISNUMBER(Datos!Q18),Datos!Q18," - ")</f>
        <v>19</v>
      </c>
      <c r="AD18" s="333"/>
      <c r="AE18" s="483"/>
      <c r="AF18" s="331">
        <f>IF(ISNUMBER(Datos!L18),Datos!L18,"-")</f>
        <v>456</v>
      </c>
      <c r="AG18" s="333"/>
      <c r="AH18" s="333"/>
      <c r="AI18" s="333"/>
      <c r="AJ18" s="333"/>
      <c r="AK18" s="333"/>
      <c r="AL18" s="478"/>
      <c r="AM18" s="334">
        <f>IF(ISNUMBER(Datos!R18),Datos!R18," - ")</f>
        <v>10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68</v>
      </c>
      <c r="BD18" s="228">
        <f>IF(ISNUMBER(Datos!N18),Datos!N18," - ")</f>
        <v>272</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1.0133333333333334</v>
      </c>
      <c r="BH18" s="259">
        <f>IF(ISNUMBER(((IF(D_I="SI",Datos!L18/Datos!K18,(Datos!L18+Datos!AF18)/(Datos!K18+Datos!AE18)))*11)/factor_trimestre),((IF(D_I="SI",Datos!L18/Datos!K18,(Datos!L18+Datos!AF18)/(Datos!K18+Datos!AE18)))*11)/factor_trimestre," - ")</f>
        <v>3</v>
      </c>
      <c r="BI18" s="242">
        <f>IF(ISNUMBER('Resol  Asuntos'!D18/NºAsuntos!G18),'Resol  Asuntos'!D18/NºAsuntos!G18," - ")</f>
        <v>0.14912280701754385</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4</v>
      </c>
      <c r="F19" s="895">
        <f>SUBTOTAL(9,F15:F18)</f>
        <v>3025</v>
      </c>
      <c r="G19" s="895">
        <f>SUBTOTAL(9,G15:G18)</f>
        <v>3454</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143</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2607</v>
      </c>
      <c r="AC19" s="896">
        <f t="shared" si="4"/>
        <v>150</v>
      </c>
      <c r="AD19" s="896">
        <f t="shared" si="4"/>
        <v>0</v>
      </c>
      <c r="AE19" s="896">
        <f t="shared" si="4"/>
        <v>0</v>
      </c>
      <c r="AF19" s="896">
        <f t="shared" si="4"/>
        <v>3509</v>
      </c>
      <c r="AG19" s="896">
        <f t="shared" si="4"/>
        <v>0</v>
      </c>
      <c r="AH19" s="896">
        <f t="shared" si="4"/>
        <v>0</v>
      </c>
      <c r="AI19" s="896">
        <f t="shared" si="4"/>
        <v>0</v>
      </c>
      <c r="AJ19" s="896">
        <f t="shared" si="4"/>
        <v>0</v>
      </c>
      <c r="AK19" s="896">
        <f t="shared" si="4"/>
        <v>0</v>
      </c>
      <c r="AL19" s="896">
        <f t="shared" si="4"/>
        <v>0</v>
      </c>
      <c r="AM19" s="896">
        <f t="shared" si="4"/>
        <v>354</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463</v>
      </c>
      <c r="BD19" s="896">
        <f t="shared" si="4"/>
        <v>1389</v>
      </c>
      <c r="BE19" s="896">
        <f t="shared" si="4"/>
        <v>0</v>
      </c>
      <c r="BF19" s="896">
        <f t="shared" si="4"/>
        <v>0</v>
      </c>
      <c r="BG19" s="896">
        <f>IF(ISNUMBER(Datos!K19/Datos!J19),Datos!K19/Datos!J19," - ")</f>
        <v>0.99163179916317989</v>
      </c>
      <c r="BH19" s="900">
        <f>IF(ISNUMBER(((Datos!L19/Datos!K19)*11)/factor_trimestre),((Datos!L19/Datos!K19)*11)/factor_trimestre," - ")</f>
        <v>4.037974683544304</v>
      </c>
      <c r="BI19" s="896">
        <f>SUBTOTAL(9,BI15:BI18)</f>
        <v>0.33275832538109568</v>
      </c>
      <c r="BJ19" s="896">
        <f>SUBTOTAL(9,BJ15:BJ18)</f>
        <v>0</v>
      </c>
      <c r="BK19" s="896">
        <f>SUBTOTAL(9,BK15:BK18)</f>
        <v>0</v>
      </c>
      <c r="BL19" s="896">
        <f>IF(ISNUMBER((I19-AB19+L19)/(F19)),(I19-AB19+L19)/(F19)," - ")</f>
        <v>-0.86181818181818182</v>
      </c>
      <c r="BM19" s="902">
        <f>IF(ISNUMBER((Datos!P19-Datos!Q19)/(Datos!R19-Datos!P19+Datos!Q19)),(Datos!P19-Datos!Q19)/(Datos!R19-Datos!P19+Datos!Q19)," - ")</f>
        <v>-1.9390581717451522E-2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11</v>
      </c>
      <c r="F20" s="817">
        <f t="shared" si="6"/>
        <v>3128</v>
      </c>
      <c r="G20" s="817">
        <f t="shared" si="6"/>
        <v>3557</v>
      </c>
      <c r="H20" s="819">
        <f t="shared" si="6"/>
        <v>0</v>
      </c>
      <c r="I20" s="817">
        <f t="shared" si="6"/>
        <v>0</v>
      </c>
      <c r="J20" s="819">
        <f t="shared" si="6"/>
        <v>0</v>
      </c>
      <c r="K20" s="819">
        <f t="shared" si="6"/>
        <v>0</v>
      </c>
      <c r="L20" s="878">
        <f t="shared" si="6"/>
        <v>0</v>
      </c>
      <c r="M20" s="878">
        <f t="shared" si="6"/>
        <v>0</v>
      </c>
      <c r="N20" s="878">
        <f t="shared" si="6"/>
        <v>261</v>
      </c>
      <c r="O20" s="878">
        <f t="shared" si="6"/>
        <v>0</v>
      </c>
      <c r="P20" s="878">
        <f t="shared" si="6"/>
        <v>0</v>
      </c>
      <c r="Q20" s="819">
        <f t="shared" si="6"/>
        <v>1440</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2689</v>
      </c>
      <c r="AC20" s="818">
        <f t="shared" si="7"/>
        <v>786</v>
      </c>
      <c r="AD20" s="818">
        <f t="shared" si="7"/>
        <v>0</v>
      </c>
      <c r="AE20" s="818">
        <f t="shared" si="7"/>
        <v>0</v>
      </c>
      <c r="AF20" s="825">
        <f t="shared" si="7"/>
        <v>3596</v>
      </c>
      <c r="AG20" s="825">
        <f t="shared" si="7"/>
        <v>0</v>
      </c>
      <c r="AH20" s="825">
        <f t="shared" si="7"/>
        <v>228</v>
      </c>
      <c r="AI20" s="825">
        <f t="shared" si="7"/>
        <v>0</v>
      </c>
      <c r="AJ20" s="818">
        <f t="shared" si="7"/>
        <v>0</v>
      </c>
      <c r="AK20" s="825">
        <f t="shared" si="7"/>
        <v>0</v>
      </c>
      <c r="AL20" s="825">
        <f t="shared" si="7"/>
        <v>0</v>
      </c>
      <c r="AM20" s="825">
        <f t="shared" si="7"/>
        <v>11659</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1071</v>
      </c>
      <c r="BD20" s="817">
        <f t="shared" si="7"/>
        <v>2187</v>
      </c>
      <c r="BE20" s="817">
        <f t="shared" si="7"/>
        <v>0</v>
      </c>
      <c r="BF20" s="827">
        <f t="shared" si="7"/>
        <v>0</v>
      </c>
      <c r="BG20" s="912">
        <f>IF(ISNUMBER(Datos!K20/Datos!J20),Datos!K20/Datos!J20," - ")</f>
        <v>1.097270016058729</v>
      </c>
      <c r="BH20" s="912">
        <f>IF(ISNUMBER(((Datos!L20/Datos!K20)*11)/factor_trimestre),((Datos!L20/Datos!K20)*11)/factor_trimestre," - ")</f>
        <v>5.106836713359816</v>
      </c>
      <c r="BI20" s="810">
        <f>IF(ISNUMBER(Datos!J20/Datos!I20),Datos!J20/Datos!I20," - ")</f>
        <v>0.51096002813269248</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-0.85965473145780047</v>
      </c>
      <c r="BM20" s="886">
        <f>IF(ISNUMBER((Datos!P20-Datos!Q20+R20)/(Datos!R20-Datos!P20+Datos!Q20-R20)),(Datos!P20-Datos!Q20+R20)/(Datos!R20-Datos!P20+Datos!Q20-R20)," - ")</f>
        <v>5.9427532939572925E-2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1422.8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2.6583202716502514</v>
      </c>
      <c r="F22" s="550">
        <f>IF(ISNUMBER(STDEV(F8:F19)),STDEV(F8:F19),"-")</f>
        <v>1687.0174865720865</v>
      </c>
      <c r="G22" s="551">
        <f>IF(ISNUMBER(STDEV(G8:G19)),STDEV(G8:G19),"-")</f>
        <v>1658.702113099275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1210.3777509521562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253.18056797471641</v>
      </c>
      <c r="BD22" s="550"/>
      <c r="BE22" s="550">
        <f>IF(ISNUMBER(STDEV(BE8:BE19)),STDEV(BE8:BE19),"-")</f>
        <v>0</v>
      </c>
      <c r="BF22" s="555">
        <f>IF(ISNUMBER(STDEV(BF8:BF19)),STDEV(BF8:BF19),"-")</f>
        <v>0</v>
      </c>
      <c r="BG22" s="772">
        <f>IF(ISNUMBER(STDEV(BG8:BG19)),STDEV(BG8:BG19),"-")</f>
        <v>0.13349717144697987</v>
      </c>
      <c r="BH22" s="773">
        <f>IF(ISNUMBER(STDEV(BH8:BH19)),STDEV(BH8:BH19),"-")</f>
        <v>1.4424170535644742</v>
      </c>
      <c r="BI22" s="248">
        <f>IF(ISNUMBER(STDEV(BI8:BI19)),STDEV(BI8:BI19),"-")</f>
        <v>8.0967048641305855E-2</v>
      </c>
      <c r="BJ22" s="229" t="str">
        <f>IF(ISNUMBER(BL22/BM22),BL22/BM22," - ")</f>
        <v xml:space="preserve"> - </v>
      </c>
      <c r="BK22" s="574"/>
      <c r="BL22" s="558">
        <f>IF(ISNUMBER(STDEV(BL8:BL19)),STDEV(BL8:BL19),"-")</f>
        <v>4.6458101316440084E-2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6/YaU3OEAmVGeZikkPc0qJ3k0QBxrfNf58DQqEL/WH/Otvy4R6qjoCIg5bKGOzTHrxOkGZiKe5zjF0FydB7vwg==" saltValue="vEDnnz3PquOGaaUEJP/Jb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COMUNIDAD VALENCIANA</v>
      </c>
    </row>
    <row r="2" spans="1:78" ht="16.5" customHeight="1">
      <c r="C2" s="527" t="str">
        <f>Criterios!A10 &amp;"  "&amp;Criterios!B10 &amp; "  " &amp; IF(NOT(ISBLANK(Criterios!A11)),Criterios!A11 &amp;"  "&amp;Criterios!B11,"")</f>
        <v>Provincias  VALENCIA  Resumenes por Partidos Judiciales  TORRENT</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6</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1286</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632</v>
      </c>
      <c r="AA9" s="331" t="str">
        <f>IF(ISNUMBER(IF(J_V="SI",Datos!L9,Datos!L9+Datos!AB9)-IF(Monitorios="SI",Datos!CD9,0)),
                          IF(J_V="SI",Datos!L9,Datos!L9+Datos!AB9)-IF(Monitorios="SI",Datos!CD9,0),
                          " - ")</f>
        <v xml:space="preserve"> - </v>
      </c>
      <c r="AB9" s="333"/>
      <c r="AC9" s="333"/>
      <c r="AD9" s="483"/>
      <c r="AE9" s="483">
        <f>IF(ISNUMBER(Datos!R9),Datos!R9," - ")</f>
        <v>11193</v>
      </c>
      <c r="AF9" s="228" t="str">
        <f>IF(ISNUMBER(Datos!BV9),Datos!BV9," - ")</f>
        <v xml:space="preserve"> - </v>
      </c>
      <c r="AG9" s="224" t="str">
        <f>IF(ISNUMBER(Datos!DV9),Datos!DV9," - ")</f>
        <v xml:space="preserve"> - </v>
      </c>
      <c r="AH9" s="297"/>
      <c r="AI9" s="226"/>
      <c r="AJ9" s="224">
        <f>IF(ISNUMBER(Datos!M9),Datos!M9," - ")</f>
        <v>583</v>
      </c>
      <c r="AK9" s="228">
        <f>IF(ISNUMBER(Datos!N9),Datos!N9," - ")</f>
        <v>783</v>
      </c>
      <c r="AL9" s="228" t="str">
        <f>IF(ISNUMBER(Datos!BW9),Datos!BW9," - ")</f>
        <v xml:space="preserve"> - </v>
      </c>
      <c r="AM9" s="227" t="str">
        <f>IF(ISNUMBER(Datos!BX9),Datos!BX9," - ")</f>
        <v xml:space="preserve"> - </v>
      </c>
      <c r="AN9" s="242"/>
      <c r="AO9" s="259">
        <f>IF(ISNUMBER(((NºAsuntos!I9/NºAsuntos!G9)*11)/factor_trimestre),((NºAsuntos!I9/NºAsuntos!G9)*11)/factor_trimestre," - ")</f>
        <v>6.107462686567164</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6.2055223455735838E-2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1</v>
      </c>
      <c r="F10" s="224">
        <f>IF(ISNUMBER(Datos!L10+Datos!K10-Datos!J10),Datos!L10+Datos!K10-Datos!J10," - ")</f>
        <v>103</v>
      </c>
      <c r="G10" s="224">
        <f>IF(ISNUMBER(Datos!I10),Datos!I10," - ")</f>
        <v>103</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11</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82</v>
      </c>
      <c r="Z10" s="617">
        <f>IF(ISNUMBER(Datos!Q10),Datos!Q10," - ")</f>
        <v>4</v>
      </c>
      <c r="AA10" s="331">
        <f>IF(ISNUMBER(Datos!L10),Datos!L10,"-")</f>
        <v>87</v>
      </c>
      <c r="AB10" s="333"/>
      <c r="AC10" s="333"/>
      <c r="AD10" s="483"/>
      <c r="AE10" s="483">
        <f>IF(ISNUMBER(Datos!R10),Datos!R10," - ")</f>
        <v>112</v>
      </c>
      <c r="AF10" s="228" t="str">
        <f>IF(ISNUMBER(Datos!BV10),Datos!BV10," - ")</f>
        <v xml:space="preserve"> - </v>
      </c>
      <c r="AG10" s="224" t="str">
        <f>IF(ISNUMBER(Datos!DV10),Datos!DV10," - ")</f>
        <v xml:space="preserve"> - </v>
      </c>
      <c r="AH10" s="297"/>
      <c r="AI10" s="226"/>
      <c r="AJ10" s="224">
        <f>IF(ISNUMBER(Datos!M10),Datos!M10," - ")</f>
        <v>25</v>
      </c>
      <c r="AK10" s="228">
        <f>IF(ISNUMBER(Datos!N10),Datos!N10," - ")</f>
        <v>15</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3.1829268292682933</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6.6666666666666666E-2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7</v>
      </c>
      <c r="F13" s="895">
        <f>SUBTOTAL(9,F8:F12)</f>
        <v>103</v>
      </c>
      <c r="G13" s="895">
        <f>SUBTOTAL(9,G8:G12)</f>
        <v>103</v>
      </c>
      <c r="H13" s="905"/>
      <c r="I13" s="895">
        <f t="shared" ref="I13:N13" si="0">SUBTOTAL(9,I8:I12)</f>
        <v>0</v>
      </c>
      <c r="J13" s="864">
        <f t="shared" si="0"/>
        <v>0</v>
      </c>
      <c r="K13" s="905">
        <f t="shared" si="0"/>
        <v>0</v>
      </c>
      <c r="L13" s="905">
        <f t="shared" si="0"/>
        <v>0</v>
      </c>
      <c r="M13" s="905">
        <f t="shared" si="0"/>
        <v>0</v>
      </c>
      <c r="N13" s="905">
        <f t="shared" si="0"/>
        <v>1297</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82</v>
      </c>
      <c r="Z13" s="904">
        <f t="shared" si="2"/>
        <v>636</v>
      </c>
      <c r="AA13" s="897">
        <f t="shared" si="2"/>
        <v>87</v>
      </c>
      <c r="AB13" s="897">
        <f t="shared" si="2"/>
        <v>0</v>
      </c>
      <c r="AC13" s="897">
        <f t="shared" si="2"/>
        <v>0</v>
      </c>
      <c r="AD13" s="897">
        <f t="shared" si="2"/>
        <v>0</v>
      </c>
      <c r="AE13" s="897">
        <f t="shared" si="2"/>
        <v>11305</v>
      </c>
      <c r="AF13" s="905">
        <f t="shared" si="2"/>
        <v>0</v>
      </c>
      <c r="AG13" s="905">
        <f t="shared" si="2"/>
        <v>0</v>
      </c>
      <c r="AH13" s="905">
        <f t="shared" si="2"/>
        <v>0</v>
      </c>
      <c r="AI13" s="905">
        <f t="shared" si="2"/>
        <v>0</v>
      </c>
      <c r="AJ13" s="905">
        <f t="shared" si="2"/>
        <v>608</v>
      </c>
      <c r="AK13" s="905">
        <f t="shared" si="2"/>
        <v>798</v>
      </c>
      <c r="AL13" s="905">
        <f t="shared" si="2"/>
        <v>0</v>
      </c>
      <c r="AM13" s="905">
        <f t="shared" si="2"/>
        <v>0</v>
      </c>
      <c r="AN13" s="905">
        <f t="shared" si="2"/>
        <v>0</v>
      </c>
      <c r="AO13" s="901">
        <f>IF(ISNUMBER(((NºAsuntos!I13/NºAsuntos!G13)*11)/factor_trimestre),((NºAsuntos!I13/NºAsuntos!G13)*11)/factor_trimestre," - ")</f>
        <v>6.0086526576019779</v>
      </c>
      <c r="AP13" s="907" t="str">
        <f>IF(ISNUMBER(Datos!CI13/Datos!CJ13),Datos!CI13/Datos!CJ13," - ")</f>
        <v xml:space="preserve"> - </v>
      </c>
      <c r="AQ13" s="923">
        <f t="shared" ref="AQ13:AV13" si="3">SUBTOTAL(9,AQ9:AQ12)</f>
        <v>0</v>
      </c>
      <c r="AR13" s="923">
        <f t="shared" si="3"/>
        <v>0.12872189012240251</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3</v>
      </c>
      <c r="B15" s="506" t="s">
        <v>397</v>
      </c>
      <c r="C15" s="159" t="str">
        <f>Datos!A15</f>
        <v xml:space="preserve">Seccion Instruccion Del T.I.                   </v>
      </c>
      <c r="D15" s="501"/>
      <c r="E15" s="1163">
        <f>IF(ISNUMBER(Datos!AQ15),Datos!AQ15," - ")</f>
        <v>3</v>
      </c>
      <c r="F15" s="332">
        <f>IF(ISNUMBER(AA15+Y15-Datos!J15-K15),AA15+Y15-Datos!J15-K15," - ")</f>
        <v>3025</v>
      </c>
      <c r="G15" s="224">
        <f>IF(ISNUMBER(IF(D_I="SI",Datos!I15,Datos!I15+Datos!AC15)),IF(D_I="SI",Datos!I15,Datos!I15+Datos!AC15)," - ")</f>
        <v>2994</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129</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2151</v>
      </c>
      <c r="Z15" s="617">
        <f>IF(ISNUMBER(Datos!Q15),Datos!Q15," - ")</f>
        <v>131</v>
      </c>
      <c r="AA15" s="331">
        <f>IF(ISNUMBER(IF(D_I="SI",Datos!L15,Datos!L15+Datos!AF15)),IF(D_I="SI",Datos!L15,Datos!L15+Datos!AF15)," - ")</f>
        <v>3053</v>
      </c>
      <c r="AB15" s="333"/>
      <c r="AC15" s="333"/>
      <c r="AD15" s="483"/>
      <c r="AE15" s="483">
        <f>IF(ISNUMBER(Datos!R15),Datos!R15," - ")</f>
        <v>344</v>
      </c>
      <c r="AF15" s="228" t="str">
        <f>IF(ISNUMBER(Datos!BV15),Datos!BV15," - ")</f>
        <v xml:space="preserve"> - </v>
      </c>
      <c r="AG15" s="224"/>
      <c r="AH15" s="297"/>
      <c r="AI15" s="226"/>
      <c r="AJ15" s="224">
        <f>IF(ISNUMBER(Datos!M15),Datos!M15," - ")</f>
        <v>395</v>
      </c>
      <c r="AK15" s="228">
        <f>IF(ISNUMBER(Datos!N15),Datos!N15," - ")</f>
        <v>1117</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4.2580195258019531</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460</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14</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456</v>
      </c>
      <c r="Z18" s="617">
        <f>IF(ISNUMBER(Datos!Q18),Datos!Q18," - ")</f>
        <v>19</v>
      </c>
      <c r="AA18" s="331">
        <f>IF(ISNUMBER(Datos!L18),Datos!L18,"-")</f>
        <v>456</v>
      </c>
      <c r="AB18" s="333"/>
      <c r="AC18" s="333"/>
      <c r="AD18" s="483"/>
      <c r="AE18" s="483">
        <f>IF(ISNUMBER(Datos!R18),Datos!R18," - ")</f>
        <v>10</v>
      </c>
      <c r="AF18" s="228" t="str">
        <f>IF(ISNUMBER(Datos!BV18),Datos!BV18," - ")</f>
        <v xml:space="preserve"> - </v>
      </c>
      <c r="AG18" s="224" t="str">
        <f>IF(ISNUMBER(Datos!DV18),Datos!DV18," - ")</f>
        <v xml:space="preserve"> - </v>
      </c>
      <c r="AH18" s="297"/>
      <c r="AI18" s="226"/>
      <c r="AJ18" s="224">
        <f>IF(ISNUMBER(Datos!M18),Datos!M18," - ")</f>
        <v>68</v>
      </c>
      <c r="AK18" s="228">
        <f>IF(ISNUMBER(Datos!N18),Datos!N18," - ")</f>
        <v>272</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4</v>
      </c>
      <c r="F19" s="895">
        <f>SUBTOTAL(9,F15:F18)</f>
        <v>3025</v>
      </c>
      <c r="G19" s="895">
        <f>SUBTOTAL(9,G15:G18)</f>
        <v>3454</v>
      </c>
      <c r="H19" s="927">
        <f>SUBTOTAL(9,H15:H18)</f>
        <v>0</v>
      </c>
      <c r="I19" s="908">
        <f>SUBTOTAL(9,I15:I18)</f>
        <v>0</v>
      </c>
      <c r="J19" s="864">
        <f>SUBTOTAL(9,J14:J18)</f>
        <v>0</v>
      </c>
      <c r="K19" s="927">
        <f t="shared" ref="K19:S19" si="4">SUBTOTAL(9,K15:K18)</f>
        <v>0</v>
      </c>
      <c r="L19" s="927">
        <f t="shared" si="4"/>
        <v>0</v>
      </c>
      <c r="M19" s="927">
        <f t="shared" si="4"/>
        <v>0</v>
      </c>
      <c r="N19" s="927">
        <f t="shared" si="4"/>
        <v>143</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2607</v>
      </c>
      <c r="Z19" s="927">
        <f t="shared" si="5"/>
        <v>150</v>
      </c>
      <c r="AA19" s="927">
        <f t="shared" si="5"/>
        <v>3509</v>
      </c>
      <c r="AB19" s="927">
        <f t="shared" si="5"/>
        <v>0</v>
      </c>
      <c r="AC19" s="927">
        <f t="shared" si="5"/>
        <v>0</v>
      </c>
      <c r="AD19" s="927">
        <f t="shared" si="5"/>
        <v>0</v>
      </c>
      <c r="AE19" s="927">
        <f t="shared" si="5"/>
        <v>354</v>
      </c>
      <c r="AF19" s="927">
        <f t="shared" si="5"/>
        <v>0</v>
      </c>
      <c r="AG19" s="927">
        <f t="shared" si="5"/>
        <v>0</v>
      </c>
      <c r="AH19" s="927">
        <f t="shared" si="5"/>
        <v>0</v>
      </c>
      <c r="AI19" s="927">
        <f t="shared" si="5"/>
        <v>0</v>
      </c>
      <c r="AJ19" s="927">
        <f t="shared" si="5"/>
        <v>463</v>
      </c>
      <c r="AK19" s="927">
        <f t="shared" si="5"/>
        <v>1389</v>
      </c>
      <c r="AL19" s="927">
        <f t="shared" si="5"/>
        <v>0</v>
      </c>
      <c r="AM19" s="927">
        <f t="shared" si="5"/>
        <v>0</v>
      </c>
      <c r="AN19" s="927">
        <f t="shared" si="5"/>
        <v>0</v>
      </c>
      <c r="AO19" s="929">
        <f>IF(ISNUMBER(((NºAsuntos!I19/NºAsuntos!G19)*11)/factor_trimestre),((NºAsuntos!I19/NºAsuntos!G19)*11)/factor_trimestre," - ")</f>
        <v>4.037974683544304</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11</v>
      </c>
      <c r="F20" s="817">
        <f t="shared" si="7"/>
        <v>3128</v>
      </c>
      <c r="G20" s="817">
        <f t="shared" si="7"/>
        <v>3557</v>
      </c>
      <c r="H20" s="818">
        <f t="shared" si="7"/>
        <v>0</v>
      </c>
      <c r="I20" s="817">
        <f t="shared" si="7"/>
        <v>0</v>
      </c>
      <c r="J20" s="819">
        <f t="shared" si="7"/>
        <v>0</v>
      </c>
      <c r="K20" s="817">
        <f t="shared" si="7"/>
        <v>0</v>
      </c>
      <c r="L20" s="820">
        <f t="shared" si="7"/>
        <v>0</v>
      </c>
      <c r="M20" s="817">
        <f t="shared" si="7"/>
        <v>0</v>
      </c>
      <c r="N20" s="818">
        <f t="shared" si="7"/>
        <v>1440</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2689</v>
      </c>
      <c r="Z20" s="824">
        <f t="shared" si="8"/>
        <v>786</v>
      </c>
      <c r="AA20" s="825">
        <f t="shared" si="8"/>
        <v>3596</v>
      </c>
      <c r="AB20" s="825">
        <f t="shared" si="8"/>
        <v>0</v>
      </c>
      <c r="AC20" s="825">
        <f t="shared" si="8"/>
        <v>0</v>
      </c>
      <c r="AD20" s="826">
        <f t="shared" si="8"/>
        <v>0</v>
      </c>
      <c r="AE20" s="826">
        <f t="shared" si="8"/>
        <v>11659</v>
      </c>
      <c r="AF20" s="827">
        <f t="shared" si="8"/>
        <v>0</v>
      </c>
      <c r="AG20" s="828">
        <f t="shared" si="8"/>
        <v>0</v>
      </c>
      <c r="AH20" s="829">
        <f t="shared" si="8"/>
        <v>0</v>
      </c>
      <c r="AI20" s="827">
        <f t="shared" si="8"/>
        <v>0</v>
      </c>
      <c r="AJ20" s="817">
        <f t="shared" si="8"/>
        <v>1071</v>
      </c>
      <c r="AK20" s="817">
        <f t="shared" si="8"/>
        <v>2187</v>
      </c>
      <c r="AL20" s="817">
        <f t="shared" si="8"/>
        <v>0</v>
      </c>
      <c r="AM20" s="830">
        <f t="shared" si="8"/>
        <v>0</v>
      </c>
      <c r="AN20" s="820">
        <f>IF(ISNUMBER(Datos!K20/Datos!J20),Datos!K20/Datos!J20," - ")</f>
        <v>1.097270016058729</v>
      </c>
      <c r="AO20" s="820">
        <f>IF(ISNUMBER(FIND("06",Criterios!A8,1)),(IF(ISNUMBER(((Datos!R20/Datos!Q20)*11)/factor_trimestre),((Datos!R20/Datos!Q20)*11)/factor_trimestre," - ")),(IF(ISNUMBER(((Datos!L20/Datos!K20)*11)/factor_trimestre),((Datos!L20/Datos!K20)*11)/factor_trimestre," - ")))</f>
        <v>5.106836713359816</v>
      </c>
      <c r="AP20" s="831" t="str">
        <f>IF(ISNUMBER(Datos!CI20/Datos!CJ20),Datos!CI20/Datos!CJ20," - ")</f>
        <v xml:space="preserve"> - </v>
      </c>
      <c r="AQ20" s="831">
        <f>IF(OR(ISNUMBER(FIND("01",Criterios!A8,1)),ISNUMBER(FIND("02",Criterios!A8,1)),ISNUMBER(FIND("03",Criterios!A8,1)),ISNUMBER(FIND("04",Criterios!A8,1))),(J20-Y20+K20)/(F20-K20),(I20-Y20+K20)/(F20-K20))</f>
        <v>-0.85965473145780047</v>
      </c>
      <c r="AR20" s="831">
        <f>IF(ISNUMBER((Datos!P20-Datos!Q20+O20)/(Datos!R20-Datos!P20+Datos!Q20-O20)),(Datos!P20-Datos!Q20+O20)/(Datos!R20-Datos!P20+Datos!Q20-O20)," - ")</f>
        <v>5.9427532939572925E-2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1422.8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1687.0174865720865</v>
      </c>
      <c r="G22" s="551">
        <f>IF(ISNUMBER(STDEV(G8:G19)),STDEV(G8:G19),"-")</f>
        <v>1658.702113099275</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253.18056797471641</v>
      </c>
      <c r="AK22" s="251"/>
      <c r="AL22" s="251">
        <f>IF(ISNUMBER(STDEV(AL8:AL19)),STDEV(AL8:AL19),"-")</f>
        <v>0</v>
      </c>
      <c r="AM22" s="253">
        <f>IF(ISNUMBER(STDEV(AM8:AM19)),STDEV(AM8:AM19),"-")</f>
        <v>0</v>
      </c>
      <c r="AN22" s="538">
        <f>IF(ISNUMBER(STDEV(AN8:AN19)),STDEV(AN8:AN19),"-")</f>
        <v>0</v>
      </c>
      <c r="AO22" s="539">
        <f>IF(ISNUMBER(STDEV(AO8:AO19)),STDEV(AO8:AO19),"-")</f>
        <v>1.3482833694332073</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gGPHlAAfxDr5YJjs8z+VK7CvrbsJjYpgOFGAbvXii/GF5QFHNAdXkFoREq1ev5Gb6qZCNImXvhZGoStnIf1Sfg==" saltValue="br9+ry9Fh+jTYY64xXxm0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pUw8q4+vC9jwqiMobfVr+tNyE3d+QFSUNiTB9MHf64EHClTozuDhbeAjm+s7hh6NKXOs2xIL/kAh2aO2ZZJaMw==" saltValue="V5/csvDbIL4UWnbRLJMBf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3cC5hxDewz+ywq06KAW4RxvLC7AJ9X4KCZ02nYrpJ5WLY4+U4NGz5oCSbS7zGwUaSd1+r3pwuajRF8USgTwfTQ==" saltValue="p6F9oHVhex12WS0sJUqlA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COMUNIDAD VALENCIANA</v>
      </c>
    </row>
    <row r="2" spans="1:78" ht="16.5" customHeight="1">
      <c r="C2" s="487" t="str">
        <f>Criterios!A10 &amp;"  "&amp;Criterios!B10 &amp; "  " &amp; IF(NOT(ISBLANK(Criterios!A11)),Criterios!A11 &amp;"  "&amp;Criterios!B11,"")</f>
        <v>Provincias  VALENCIA  Resumenes por Partidos Judiciales  TORRENT</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0.25051503914297485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0.17714088296721089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IqJ+vbjVU12USE6DpQJr7aNET6YdN40x3zGX1whFLEYZLEhaf1tREQUCKYtv+DOusj+FfoxD81+CFIwT9HxV+A==" saltValue="CDzwZ9slZtDZAaPLlSxKw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Ef6D5U0HvKQURmzcsfHnFLgQhBV2f+MvIAgp8PQ/SZwS8Ia5PIIIPz1nmz/jz78yO+xEJWOwxZ+ppMlMeZHUCg==" saltValue="vJBViw6gLoAcAl4ZPSvd/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COMUNIDAD VALENCIANA</v>
      </c>
      <c r="W1"/>
      <c r="X1"/>
    </row>
    <row r="2" spans="1:78" ht="16.5" customHeight="1">
      <c r="C2" s="487" t="str">
        <f>Criterios!A10 &amp;"  "&amp;Criterios!B10 &amp; "  " &amp; IF(NOT(ISBLANK(Criterios!A11)),Criterios!A11 &amp;"  "&amp;Criterios!B11,"")</f>
        <v>Provincias  VALENCIA  Resumenes por Partidos Judiciales  TORRENT</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6</v>
      </c>
      <c r="B9" s="500" t="s">
        <v>247</v>
      </c>
      <c r="C9" s="159" t="str">
        <f>Datos!A9</f>
        <v>Sección Civil del T.I</v>
      </c>
      <c r="D9" s="501"/>
      <c r="E9" s="679">
        <f>IF(ISNUMBER(Datos!AQ9),Datos!AQ9," - ")</f>
        <v>6</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1</v>
      </c>
      <c r="F10" s="680">
        <f>IF(ISNUMBER(Datos!L10+Datos!K10-Datos!J10),Datos!L10+Datos!K10-Datos!J10," - ")</f>
        <v>103</v>
      </c>
      <c r="G10" s="681">
        <f>IF(ISNUMBER(Datos!I10),Datos!I10," - ")</f>
        <v>103</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11</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82</v>
      </c>
      <c r="AC10" s="680" t="str">
        <f>IF(ISNUMBER(IF(D_I="SI",DatosP!K18,DatosP!K18+DatosP!AE18)),IF(D_I="SI",DatosP!K18,DatosP!K18+DatosP!AE18)," - ")</f>
        <v xml:space="preserve"> - </v>
      </c>
      <c r="AD10" s="682"/>
      <c r="AE10" s="682"/>
      <c r="AF10" s="685">
        <f>IF(ISNUMBER(Datos!L10),Datos!L10,"-")</f>
        <v>87</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25</v>
      </c>
      <c r="AM10" s="687">
        <f>IF(ISNUMBER(Datos!N10+DatosP!N18),Datos!N10+DatosP!N18," - ")</f>
        <v>15</v>
      </c>
      <c r="AN10" s="687">
        <f>IF(ISNUMBER(Datos!BW10+DatosP!BW18),Datos!BW10+DatosP!BW18," - ")</f>
        <v>0</v>
      </c>
      <c r="AO10" s="688">
        <f>IF(ISNUMBER(Datos!BX10+DatosP!BX18),Datos!BX10+DatosP!BX18," - ")</f>
        <v>0</v>
      </c>
      <c r="AP10" s="690">
        <f>IF(ISNUMBER(((Datos!L10/Datos!K10)*11)/factor_trimestre),((Datos!L10/Datos!K10)*11)/factor_trimestre," - ")</f>
        <v>3.1829268292682933</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7</v>
      </c>
      <c r="F13" s="933">
        <f t="shared" si="0"/>
        <v>103</v>
      </c>
      <c r="G13" s="933">
        <f t="shared" si="0"/>
        <v>103</v>
      </c>
      <c r="H13" s="933">
        <f t="shared" si="0"/>
        <v>0</v>
      </c>
      <c r="I13" s="935">
        <f t="shared" si="0"/>
        <v>0</v>
      </c>
      <c r="J13" s="934">
        <f t="shared" si="0"/>
        <v>0</v>
      </c>
      <c r="K13" s="934">
        <f t="shared" si="0"/>
        <v>0</v>
      </c>
      <c r="L13" s="936">
        <f t="shared" si="0"/>
        <v>0</v>
      </c>
      <c r="M13" s="936">
        <f t="shared" si="0"/>
        <v>0</v>
      </c>
      <c r="N13" s="934">
        <f t="shared" si="0"/>
        <v>11</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82</v>
      </c>
      <c r="AC13" s="934">
        <f t="shared" si="1"/>
        <v>0</v>
      </c>
      <c r="AD13" s="934">
        <f t="shared" si="1"/>
        <v>0</v>
      </c>
      <c r="AE13" s="934">
        <f t="shared" si="1"/>
        <v>0</v>
      </c>
      <c r="AF13" s="934">
        <f t="shared" si="1"/>
        <v>87</v>
      </c>
      <c r="AG13" s="934">
        <f t="shared" si="1"/>
        <v>0</v>
      </c>
      <c r="AH13" s="934">
        <f t="shared" si="1"/>
        <v>0</v>
      </c>
      <c r="AI13" s="934">
        <f t="shared" si="1"/>
        <v>0</v>
      </c>
      <c r="AJ13" s="934">
        <f t="shared" si="1"/>
        <v>0</v>
      </c>
      <c r="AK13" s="934">
        <f t="shared" si="1"/>
        <v>0</v>
      </c>
      <c r="AL13" s="934">
        <f t="shared" si="1"/>
        <v>25</v>
      </c>
      <c r="AM13" s="934">
        <f t="shared" si="1"/>
        <v>15</v>
      </c>
      <c r="AN13" s="934">
        <f t="shared" si="1"/>
        <v>0</v>
      </c>
      <c r="AO13" s="934">
        <f t="shared" si="1"/>
        <v>0</v>
      </c>
      <c r="AP13" s="939">
        <f>IF(ISNUMBER(((Datos!L13/Datos!K13)*11)/factor_trimestre),((Datos!L13/Datos!K13)*11)/factor_trimestre," - ")</f>
        <v>6.3874080882352935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-0.79611650485436891</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3</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4.037974683544304</v>
      </c>
      <c r="AQ19" s="939">
        <f>IF(ISNUMBER(((Datos!M19/Datos!L19)*11)/factor_trimestre),((Datos!M19/Datos!L19)*11)/factor_trimestre," - ")</f>
        <v>0.39583927044742095</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-1.9390581717451522E-2</v>
      </c>
      <c r="AW19" s="941">
        <f>IF(ISNUMBER((Datos!Q19-Datos!R19)/(Datos!S19-Datos!Q19+Datos!R19)),(Datos!Q19-Datos!R19)/(Datos!S19-Datos!Q19+Datos!R19)," - ")</f>
        <v>-6.3040791100123603E-2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7</v>
      </c>
      <c r="F20" s="946">
        <f t="shared" si="4"/>
        <v>103</v>
      </c>
      <c r="G20" s="946">
        <f t="shared" si="4"/>
        <v>103</v>
      </c>
      <c r="H20" s="946">
        <f t="shared" si="4"/>
        <v>0</v>
      </c>
      <c r="I20" s="947">
        <f t="shared" si="4"/>
        <v>0</v>
      </c>
      <c r="J20" s="948">
        <f t="shared" si="4"/>
        <v>0</v>
      </c>
      <c r="K20" s="948">
        <f t="shared" si="4"/>
        <v>0</v>
      </c>
      <c r="L20" s="948">
        <f t="shared" si="4"/>
        <v>0</v>
      </c>
      <c r="M20" s="948">
        <f t="shared" si="4"/>
        <v>0</v>
      </c>
      <c r="N20" s="947">
        <f t="shared" si="4"/>
        <v>11</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82</v>
      </c>
      <c r="AC20" s="952">
        <f t="shared" si="5"/>
        <v>0</v>
      </c>
      <c r="AD20" s="952">
        <f t="shared" si="5"/>
        <v>0</v>
      </c>
      <c r="AE20" s="952">
        <f t="shared" si="5"/>
        <v>0</v>
      </c>
      <c r="AF20" s="953">
        <f t="shared" si="5"/>
        <v>87</v>
      </c>
      <c r="AG20" s="953">
        <f t="shared" si="5"/>
        <v>0</v>
      </c>
      <c r="AH20" s="953">
        <f t="shared" si="5"/>
        <v>0</v>
      </c>
      <c r="AI20" s="953">
        <f t="shared" si="5"/>
        <v>0</v>
      </c>
      <c r="AJ20" s="954">
        <f t="shared" si="5"/>
        <v>0</v>
      </c>
      <c r="AK20" s="954">
        <f t="shared" si="5"/>
        <v>0</v>
      </c>
      <c r="AL20" s="946">
        <f t="shared" si="5"/>
        <v>25</v>
      </c>
      <c r="AM20" s="946">
        <f t="shared" si="5"/>
        <v>15</v>
      </c>
      <c r="AN20" s="946">
        <f t="shared" si="5"/>
        <v>0</v>
      </c>
      <c r="AO20" s="946">
        <f t="shared" si="5"/>
        <v>0</v>
      </c>
      <c r="AP20" s="946">
        <f>IF(ISNUMBER(((Datos!L20/Datos!K20)*11)/factor_trimestre),((Datos!L20/Datos!K20)*11)/factor_trimestre," - ")</f>
        <v>5.106836713359816</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-0.79611650485436891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5.9427532939572925E-2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68.666666666666671</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3.2659863237109041</v>
      </c>
      <c r="F22" s="733">
        <f>IF(ISNUMBER(STDEV(F8:F19)),STDEV(F8:F19),"-")</f>
        <v>59.46707772653145</v>
      </c>
      <c r="G22" s="734">
        <f>IF(ISNUMBER(STDEV(G8:G19)),STDEV(G8:G19),"-")</f>
        <v>59.46707772653145</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47.342722073549311</v>
      </c>
      <c r="AC22" s="735">
        <f>IF(ISNUMBER(STDEV(AC8:AC19)),STDEV(AC8:AC19),"-")</f>
        <v>0</v>
      </c>
      <c r="AD22" s="738"/>
      <c r="AE22" s="738"/>
      <c r="AF22" s="738"/>
      <c r="AG22" s="738"/>
      <c r="AH22" s="738"/>
      <c r="AI22" s="738"/>
      <c r="AJ22" s="739">
        <f>IF(ISNUMBER(STDEV(AJ8:AJ19)),STDEV(AJ8:AJ19),"-")</f>
        <v>0</v>
      </c>
      <c r="AK22" s="741"/>
      <c r="AL22" s="733">
        <f>IF(ISNUMBER(STDEV(AL8:AL19)),STDEV(AL8:AL19),"-")</f>
        <v>14.433756729740644</v>
      </c>
      <c r="AM22" s="733"/>
      <c r="AN22" s="733">
        <f>IF(ISNUMBER(STDEV(AN8:AN19)),STDEV(AN8:AN19),"-")</f>
        <v>0</v>
      </c>
      <c r="AO22" s="739">
        <f>IF(ISNUMBER(STDEV(AO8:AO19)),STDEV(AO8:AO19),"-")</f>
        <v>0</v>
      </c>
      <c r="AP22" s="776">
        <f>IF(ISNUMBER(STDEV(AP8:AP19)),STDEV(AP8:AP19),"-")</f>
        <v>1.6592992645115114</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FbuemboaAgXQsIyaYe2soPhsfLa02m0KrPZ1f6uiCdC2ptE8NxH1OwfhaTuawPHTgxhkbmIg4aAFYD6Q7pF6OQ==" saltValue="9i3tdc5cPJVLomst8LNXi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COMUNIDAD VALENCIANA</v>
      </c>
    </row>
    <row r="2" spans="1:168" ht="16.5" customHeight="1">
      <c r="C2" s="487" t="str">
        <f>Criterios!A10 &amp;"  "&amp;Criterios!B10 &amp; "  " &amp; IF(NOT(ISBLANK(Criterios!A11)),Criterios!A11 &amp;"  "&amp;Criterios!B11,"")</f>
        <v>Provincias  VALENCIA  Resumenes por Partidos Judiciales  TORRENT</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6</v>
      </c>
      <c r="B9" s="500" t="s">
        <v>247</v>
      </c>
      <c r="C9" s="159" t="str">
        <f>Datos!A9</f>
        <v>Sección Civil del T.I</v>
      </c>
      <c r="D9" s="501"/>
      <c r="E9" s="259">
        <f>IF(ISNUMBER(Datos!AQ9),Datos!AQ9," - ")</f>
        <v>6</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261</v>
      </c>
      <c r="O9" s="333"/>
      <c r="P9" s="333"/>
      <c r="Q9" s="225">
        <f>IF(ISNUMBER(Datos!P9),Datos!P9,0)</f>
        <v>1286</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632</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228</v>
      </c>
      <c r="AI9" s="224" t="str">
        <f>IF(ISNUMBER(Datos!CD9),Datos!CD9,"-")</f>
        <v>-</v>
      </c>
      <c r="AJ9" s="224" t="str">
        <f>IF(ISNUMBER(Datos!EN9),Datos!EN9," - ")</f>
        <v xml:space="preserve"> - </v>
      </c>
      <c r="AK9" s="333"/>
      <c r="AL9" s="478"/>
      <c r="AM9" s="224">
        <f>IF(ISNUMBER(Datos!R9),Datos!R9," - ")</f>
        <v>11193</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583</v>
      </c>
      <c r="BD9" s="228">
        <f>IF(ISNUMBER(Datos!N9),Datos!N9," - ")</f>
        <v>783</v>
      </c>
      <c r="BE9" s="224" t="str">
        <f>IF(ISNUMBER(Datos!BW9),Datos!BW9," - ")</f>
        <v xml:space="preserve"> - </v>
      </c>
      <c r="BF9" s="224" t="str">
        <f>IF(ISNUMBER(Datos!BX9),Datos!BX9," - ")</f>
        <v xml:space="preserve"> - </v>
      </c>
      <c r="BG9" s="242">
        <f>IF(ISNUMBER(IF(J_V="SI",Datos!K9/Datos!J9,(Datos!K9+Datos!AA9)/(Datos!J9+Datos!Z9))),IF(J_V="SI",Datos!K9/Datos!J9,(Datos!K9+Datos!AA9)/(Datos!J9+Datos!Z9))," - ")</f>
        <v>1.2181818181818183</v>
      </c>
      <c r="BH9" s="224">
        <f>IF(ISNUMBER(((IF(J_V="SI",Datos!L9/Datos!K9,(Datos!L9+Datos!AB9)/(Datos!K9+Datos!AA9)))*11)/factor_trimestre),((IF(J_V="SI",Datos!L9/Datos!K9,(Datos!L9+Datos!AB9)/(Datos!K9+Datos!AA9)))*11)/factor_trimestre," - ")</f>
        <v>6.107462686567164</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6.2055223455735838E-2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927.73777509521574</v>
      </c>
      <c r="CF9" s="228">
        <f ca="1">AVERAGEIFS($AB:$AB,$BW:$BW,BW9,$BX:$BX,BX9)</f>
        <v>927.73777509521574</v>
      </c>
      <c r="CG9" s="1191">
        <v>0.7</v>
      </c>
      <c r="CH9" s="1191">
        <f ca="1">AVERAGEIF($BW:$BW,$BW9,$AC:$AC)</f>
        <v>235.8</v>
      </c>
      <c r="CI9" s="228">
        <f ca="1">AVERAGEIFS($AC:$AC,$BW:$BW,$BW9,$BX:$BX,$BX9)</f>
        <v>235.8</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1198.6666666666667</v>
      </c>
      <c r="CR9" s="228">
        <f ca="1">AVERAGEIFS($AF:$AF,$BW:$BW,BW9,$BX:$BX,BX9)</f>
        <v>1198.6666666666667</v>
      </c>
      <c r="CS9" s="1191">
        <v>1.3</v>
      </c>
      <c r="CT9" s="1191">
        <v>1.5</v>
      </c>
      <c r="CU9" s="1191">
        <f ca="1">AVERAGEIF($BW:$BW,$BW9,$AH:$AH)</f>
        <v>97.714285714285708</v>
      </c>
      <c r="CV9" s="228">
        <f ca="1">AVERAGEIFS($AH:$AH,$BW:$BW,$BW9,$BX:$BX,$BX9)</f>
        <v>97.714285714285708</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3497.7</v>
      </c>
      <c r="DH9" s="228">
        <f ca="1">AVERAGEIFS($AM:$AM,$BW:$BW,$BW9,$BX:$BX,$BX9)</f>
        <v>3497.7</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3.047549598212846</v>
      </c>
      <c r="ER9" s="228">
        <f ca="1">AVERAGEIFS($BH:$BH,$BW:$BW,$BW9,$BX:$BX,$BX9)</f>
        <v>3.047549598212846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1</v>
      </c>
      <c r="F10" s="224">
        <f>IF(ISNUMBER(Datos!L10+Datos!K10-Datos!J10),Datos!L10+Datos!K10-Datos!J10," - ")</f>
        <v>103</v>
      </c>
      <c r="G10" s="332">
        <f>IF(ISNUMBER(Datos!I10),Datos!I10," - ")</f>
        <v>103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82</v>
      </c>
      <c r="AC10" s="224">
        <f>IF(ISNUMBER(Datos!Q10),Datos!Q10," - ")</f>
        <v>4</v>
      </c>
      <c r="AD10" s="224"/>
      <c r="AE10" s="224"/>
      <c r="AF10" s="224">
        <f>IF(ISNUMBER(Datos!L10),Datos!L10,"-")</f>
        <v>87</v>
      </c>
      <c r="AG10" s="333"/>
      <c r="AH10" s="224"/>
      <c r="AI10" s="224"/>
      <c r="AJ10" s="224"/>
      <c r="AK10" s="333"/>
      <c r="AL10" s="478"/>
      <c r="AM10" s="224">
        <f>IF(ISNUMBER(Datos!R10),Datos!R10," - ")</f>
        <v>112</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25</v>
      </c>
      <c r="BD10" s="228">
        <f>IF(ISNUMBER(Datos!N10),Datos!N10," - ")</f>
        <v>15</v>
      </c>
      <c r="BE10" s="224" t="str">
        <f>IF(ISNUMBER(Datos!BW10),Datos!BW10," - ")</f>
        <v xml:space="preserve"> - </v>
      </c>
      <c r="BF10" s="224" t="str">
        <f>IF(ISNUMBER(Datos!BX10),Datos!BX10," - ")</f>
        <v xml:space="preserve"> - </v>
      </c>
      <c r="BG10" s="242">
        <f>IF(ISNUMBER(Datos!K10/Datos!J10),Datos!K10/Datos!J10," - ")</f>
        <v>1.2424242424242424</v>
      </c>
      <c r="BH10" s="224">
        <f>IF(ISNUMBER(((Datos!L10/Datos!K10)*11)/factor_trimestre),((Datos!L10/Datos!K10)*11)/factor_trimestre," - ")</f>
        <v>3.1829268292682933</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6.6666666666666666E-2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927.73777509521574</v>
      </c>
      <c r="CF10" s="228">
        <f ca="1">AVERAGEIFS($AB:$AB,$BW:$BW,BW10,$BX:$BX,BX10)</f>
        <v>927.73777509521574</v>
      </c>
      <c r="CG10" s="1191">
        <v>0.7</v>
      </c>
      <c r="CH10" s="1191">
        <f ca="1">AVERAGEIF($BW:$BW,BW10,$AC:$AC)</f>
        <v>235.8</v>
      </c>
      <c r="CI10" s="228">
        <f ca="1">AVERAGEIFS($AC:$AC,$BW:$BW,BW10,$BX:$BX,BX10)</f>
        <v>235.8</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1198.6666666666667</v>
      </c>
      <c r="CR10" s="228">
        <f ca="1">AVERAGEIFS($AF:$AF,$BW:$BW,BW10,$BX:$BX,BX10)</f>
        <v>1198.6666666666667</v>
      </c>
      <c r="CS10" s="1191">
        <v>1.3</v>
      </c>
      <c r="CT10" s="1191">
        <v>1.5</v>
      </c>
      <c r="CU10" s="1191">
        <f ca="1">AVERAGEIF($BW:$BW,$BW10,$AH:$AH)</f>
        <v>97.714285714285708</v>
      </c>
      <c r="CV10" s="228">
        <f ca="1">AVERAGEIFS($AH:$AH,$BW:$BW,$BW10,$BX:$BX,$BX10)</f>
        <v>97.714285714285708</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3497.7</v>
      </c>
      <c r="DH10" s="228">
        <f ca="1">AVERAGEIFS($AM:$AM,$BW:$BW,$BW10,$BX:$BX,$BX10)</f>
        <v>3497.7</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3.047549598212846</v>
      </c>
      <c r="ER10" s="228">
        <f ca="1">AVERAGEIFS($BH:$BH,$BW:$BW,$BW10,$BX:$BX,$BX10)</f>
        <v>3.047549598212846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927.73777509521574</v>
      </c>
      <c r="CF11" s="228">
        <f ca="1">AVERAGEIFS($AB:$AB,$BW:$BW,BW11,$BX:$BX,BX11)</f>
        <v>927.73777509521574</v>
      </c>
      <c r="CG11" s="1191">
        <v>0.7</v>
      </c>
      <c r="CH11" s="1191">
        <f ca="1">AVERAGEIF($BW:$BW,BW11,$AC:$AC)</f>
        <v>235.8</v>
      </c>
      <c r="CI11" s="228">
        <f ca="1">AVERAGEIFS($AC:$AC,$BW:$BW,BW11,$BX:$BX,BX11)</f>
        <v>235.8</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1198.6666666666667</v>
      </c>
      <c r="CR11" s="228">
        <f ca="1">AVERAGEIFS($AF:$AF,$BW:$BW,BW11,$BX:$BX,BX11)</f>
        <v>1198.6666666666667</v>
      </c>
      <c r="CS11" s="1191">
        <v>1.3</v>
      </c>
      <c r="CT11" s="1191">
        <v>1.5</v>
      </c>
      <c r="CU11" s="1191">
        <f ca="1">AVERAGEIF($BW:$BW,$BW11,$AH:$AH)</f>
        <v>97.714285714285708</v>
      </c>
      <c r="CV11" s="228">
        <f ca="1">AVERAGEIFS($AH:$AH,$BW:$BW,$BW11,$BX:$BX,$BX11)</f>
        <v>97.714285714285708</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3497.7</v>
      </c>
      <c r="DH11" s="228">
        <f ca="1">AVERAGEIFS($AM:$AM,$BW:$BW,$BW11,$BX:$BX,$BX11)</f>
        <v>3497.7</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3.047549598212846</v>
      </c>
      <c r="ER11" s="228">
        <f ca="1">AVERAGEIFS($BH:$BH,$BW:$BW,$BW11,$BX:$BX,$BX11)</f>
        <v>3.047549598212846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927.73777509521574</v>
      </c>
      <c r="CF12" s="228">
        <f ca="1">AVERAGEIFS($AB:$AB,$BW:$BW,BW12,$BX:$BX,BX12)</f>
        <v>927.73777509521574</v>
      </c>
      <c r="CG12" s="1191">
        <v>0.7</v>
      </c>
      <c r="CH12" s="1191">
        <f ca="1">AVERAGEIF($BW:$BW,BW12,$AC:$AC)</f>
        <v>235.8</v>
      </c>
      <c r="CI12" s="228">
        <f ca="1">AVERAGEIFS($AC:$AC,$BW:$BW,BW12,$BX:$BX,BX12)</f>
        <v>235.8</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1198.6666666666667</v>
      </c>
      <c r="CR12" s="228">
        <f ca="1">AVERAGEIFS($AF:$AF,$BW:$BW,BW12,$BX:$BX,BX12)</f>
        <v>1198.6666666666667</v>
      </c>
      <c r="CS12" s="1191">
        <v>1.3</v>
      </c>
      <c r="CT12" s="1191">
        <v>1.5</v>
      </c>
      <c r="CU12" s="1191">
        <f ca="1">AVERAGEIF($BW:$BW,$BW12,$AH:$AH)</f>
        <v>97.714285714285708</v>
      </c>
      <c r="CV12" s="228">
        <f ca="1">AVERAGEIFS($AH:$AH,$BW:$BW,$BW12,$BX:$BX,$BX12)</f>
        <v>97.714285714285708</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3497.7</v>
      </c>
      <c r="DH12" s="228">
        <f ca="1">AVERAGEIFS($AM:$AM,$BW:$BW,$BW12,$BX:$BX,$BX12)</f>
        <v>3497.7</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3.047549598212846</v>
      </c>
      <c r="ER12" s="228">
        <f ca="1">AVERAGEIFS($BH:$BH,$BW:$BW,$BW12,$BX:$BX,$BX12)</f>
        <v>3.047549598212846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7</v>
      </c>
      <c r="F13" s="895">
        <f t="shared" si="1"/>
        <v>103</v>
      </c>
      <c r="G13" s="895">
        <f t="shared" si="1"/>
        <v>103</v>
      </c>
      <c r="H13" s="896">
        <f t="shared" si="1"/>
        <v>0</v>
      </c>
      <c r="I13" s="895">
        <f t="shared" si="1"/>
        <v>0</v>
      </c>
      <c r="J13" s="864">
        <f t="shared" si="1"/>
        <v>0</v>
      </c>
      <c r="K13" s="864">
        <f t="shared" si="1"/>
        <v>0</v>
      </c>
      <c r="L13" s="896">
        <f t="shared" si="1"/>
        <v>0</v>
      </c>
      <c r="M13" s="896">
        <f t="shared" si="1"/>
        <v>0</v>
      </c>
      <c r="N13" s="896">
        <f t="shared" si="1"/>
        <v>261</v>
      </c>
      <c r="O13" s="897">
        <f t="shared" si="1"/>
        <v>0</v>
      </c>
      <c r="P13" s="897">
        <f t="shared" si="1"/>
        <v>0</v>
      </c>
      <c r="Q13" s="896">
        <f t="shared" si="1"/>
        <v>1297</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82</v>
      </c>
      <c r="AC13" s="896">
        <f t="shared" si="2"/>
        <v>636</v>
      </c>
      <c r="AD13" s="896">
        <f t="shared" si="2"/>
        <v>0</v>
      </c>
      <c r="AE13" s="896">
        <f t="shared" si="2"/>
        <v>0</v>
      </c>
      <c r="AF13" s="896">
        <f t="shared" si="2"/>
        <v>87</v>
      </c>
      <c r="AG13" s="896">
        <f t="shared" si="2"/>
        <v>0</v>
      </c>
      <c r="AH13" s="896">
        <f t="shared" si="2"/>
        <v>228</v>
      </c>
      <c r="AI13" s="896">
        <f t="shared" si="2"/>
        <v>0</v>
      </c>
      <c r="AJ13" s="896">
        <f t="shared" si="2"/>
        <v>0</v>
      </c>
      <c r="AK13" s="896">
        <f t="shared" si="2"/>
        <v>0</v>
      </c>
      <c r="AL13" s="896">
        <f t="shared" si="2"/>
        <v>0</v>
      </c>
      <c r="AM13" s="896">
        <f t="shared" si="2"/>
        <v>11305</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608</v>
      </c>
      <c r="BD13" s="896">
        <f t="shared" si="2"/>
        <v>798</v>
      </c>
      <c r="BE13" s="896">
        <f t="shared" si="2"/>
        <v>0</v>
      </c>
      <c r="BF13" s="896">
        <f t="shared" si="2"/>
        <v>0</v>
      </c>
      <c r="BG13" s="896">
        <f>IF(ISNUMBER(Datos!K13/Datos!J13),Datos!K13/Datos!J13," - ")</f>
        <v>1.2578034682080925</v>
      </c>
      <c r="BH13" s="900">
        <f>IF(ISNUMBER(((Datos!L13/Datos!K13)*11)/factor_trimestre),((Datos!L13/Datos!K13)*11)/factor_trimestre," - ")</f>
        <v>6.3874080882352935</v>
      </c>
      <c r="BI13" s="896">
        <f>IF(ISNUMBER('Resol  Asuntos'!D13/NºAsuntos!G13),'Resol  Asuntos'!D13/NºAsuntos!G13," - ")</f>
        <v>0.25051503914297485</v>
      </c>
      <c r="BJ13" s="896" t="str">
        <f>IF(ISNUMBER(Datos!CI13/Datos!CJ13),Datos!CI13/Datos!CJ13," - ")</f>
        <v xml:space="preserve"> - </v>
      </c>
      <c r="BK13" s="896">
        <f>SUBTOTAL(9,BK8:BK12)</f>
        <v>0</v>
      </c>
      <c r="BL13" s="896">
        <f>IF(ISNUMBER((I13-AB13+L13)/(F13)),(I13-AB13+L13)/(F13)," - ")</f>
        <v>-0.79611650485436891</v>
      </c>
      <c r="BM13" s="901">
        <f>SUBTOTAL(9,BM9:BM12)</f>
        <v>0.12872189012240251</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3</v>
      </c>
      <c r="B15" s="593" t="s">
        <v>397</v>
      </c>
      <c r="C15" s="598" t="str">
        <f>Datos!A15</f>
        <v xml:space="preserve">Seccion Instruccion Del T.I.                   </v>
      </c>
      <c r="D15" s="599"/>
      <c r="E15" s="1160">
        <f>IF(ISNUMBER(Datos!AQ15),Datos!AQ15," - ")</f>
        <v>3</v>
      </c>
      <c r="F15" s="594">
        <f>IF(ISNUMBER(AF15+AB15-Datos!J15-L15),AF15+AB15-Datos!J15-L15," - ")</f>
        <v>3025</v>
      </c>
      <c r="G15" s="596">
        <f>IF(ISNUMBER(IF(D_I="SI",Datos!I15,Datos!I15+Datos!AC15)),IF(D_I="SI",Datos!I15,Datos!I15+Datos!AC15)," - ")</f>
        <v>2994</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129</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2151</v>
      </c>
      <c r="AC15" s="224">
        <f>IF(ISNUMBER(Datos!Q15),Datos!Q15," - ")</f>
        <v>131</v>
      </c>
      <c r="AD15" s="224"/>
      <c r="AE15" s="224"/>
      <c r="AF15" s="224">
        <f>IF(ISNUMBER(IF(D_I="SI",Datos!L15,Datos!L15+Datos!AF15)),IF(D_I="SI",Datos!L15,Datos!L15+Datos!AF15)," - ")</f>
        <v>3053</v>
      </c>
      <c r="AG15" s="333"/>
      <c r="AH15" s="224"/>
      <c r="AI15" s="224"/>
      <c r="AJ15" s="224"/>
      <c r="AK15" s="333"/>
      <c r="AL15" s="478"/>
      <c r="AM15" s="224">
        <f>IF(ISNUMBER(Datos!R15),Datos!R15," - ")</f>
        <v>344</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395</v>
      </c>
      <c r="BD15" s="228">
        <f>IF(ISNUMBER(Datos!N15),Datos!N15," - ")</f>
        <v>1117</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0.98715006883891698</v>
      </c>
      <c r="BH15" s="224">
        <f>IF(ISNUMBER(((IF(D_I="SI",Datos!L15/Datos!K15,(Datos!L15+Datos!AF15)/(Datos!K15+Datos!AE15)))*11)/factor_trimestre),((IF(D_I="SI",Datos!L15/Datos!K15,(Datos!L15+Datos!AF15)/(Datos!K15+Datos!AE15)))*11)/factor_trimestre," - ")</f>
        <v>4.2580195258019531</v>
      </c>
      <c r="BI15" s="242">
        <f>IF(ISNUMBER('Resol  Asuntos'!D15/NºAsuntos!G15),'Resol  Asuntos'!D15/NºAsuntos!G15," - ")</f>
        <v>0.18363551836355183</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927.73777509521574</v>
      </c>
      <c r="CF15" s="228">
        <f ca="1">AVERAGEIFS($AB:$AB,$BW:$BW,BW15,$BX:$BX,BX15)</f>
        <v>927.73777509521574</v>
      </c>
      <c r="CG15" s="1191">
        <v>0.7</v>
      </c>
      <c r="CH15" s="1191">
        <f ca="1">AVERAGEIF($BW:$BW,BW15,$AC:$AC)</f>
        <v>235.8</v>
      </c>
      <c r="CI15" s="228">
        <f ca="1">AVERAGEIFS($AC:$AC,$BW:$BW,BW15,$BX:$BX,BX15)</f>
        <v>235.8</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1198.6666666666667</v>
      </c>
      <c r="CR15" s="228">
        <f ca="1">AVERAGEIFS($AF:$AF,$BW:$BW,BW15,$BX:$BX,BX15)</f>
        <v>1198.6666666666667</v>
      </c>
      <c r="CS15" s="1191">
        <v>1.3</v>
      </c>
      <c r="CT15" s="1191">
        <v>1.5</v>
      </c>
      <c r="CU15" s="1191">
        <f ca="1">AVERAGEIF($BW:$BW,$BW15,$AH:$AH)</f>
        <v>97.714285714285708</v>
      </c>
      <c r="CV15" s="228">
        <f ca="1">AVERAGEIFS($AH:$AH,$BW:$BW,$BW15,$BX:$BX,$BX15)</f>
        <v>97.714285714285708</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3497.7</v>
      </c>
      <c r="DH15" s="228">
        <f ca="1">AVERAGEIFS($AM:$AM,$BW:$BW,$BW15,$BX:$BX,$BX15)</f>
        <v>3497.7</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3.047549598212846</v>
      </c>
      <c r="ER15" s="228">
        <f ca="1">AVERAGEIFS($BH:$BH,$BW:$BW,$BW15,$BX:$BX,$BX15)</f>
        <v>3.047549598212846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927.73777509521574</v>
      </c>
      <c r="CF16" s="228">
        <f ca="1">AVERAGEIFS($AB:$AB,$BW:$BW,BW16,$BX:$BX,BX16)</f>
        <v>927.73777509521574</v>
      </c>
      <c r="CG16" s="1191">
        <v>0.7</v>
      </c>
      <c r="CH16" s="1191">
        <f ca="1">AVERAGEIF($BW:$BW,BW16,$AC:$AC)</f>
        <v>235.8</v>
      </c>
      <c r="CI16" s="228">
        <f ca="1">AVERAGEIFS($AC:$AC,$BW:$BW,BW16,$BX:$BX,BX16)</f>
        <v>235.8</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1198.6666666666667</v>
      </c>
      <c r="CR16" s="228">
        <f ca="1">AVERAGEIFS($AF:$AF,$BW:$BW,BW16,$BX:$BX,BX16)</f>
        <v>1198.6666666666667</v>
      </c>
      <c r="CS16" s="1191">
        <v>1.3</v>
      </c>
      <c r="CT16" s="1191">
        <v>1.5</v>
      </c>
      <c r="CU16" s="1191">
        <f ca="1">AVERAGEIF($BW:$BW,$BW16,$AH:$AH)</f>
        <v>97.714285714285708</v>
      </c>
      <c r="CV16" s="228">
        <f ca="1">AVERAGEIFS($AH:$AH,$BW:$BW,$BW16,$BX:$BX,$BX16)</f>
        <v>97.714285714285708</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3497.7</v>
      </c>
      <c r="DH16" s="228">
        <f ca="1">AVERAGEIFS($AM:$AM,$BW:$BW,$BW16,$BX:$BX,$BX16)</f>
        <v>3497.7</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3.047549598212846</v>
      </c>
      <c r="ER16" s="228">
        <f ca="1">AVERAGEIFS($BH:$BH,$BW:$BW,$BW16,$BX:$BX,$BX16)</f>
        <v>3.047549598212846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927.73777509521574</v>
      </c>
      <c r="CF17" s="228">
        <f ca="1">AVERAGEIFS($AB:$AB,$BW:$BW,BW17,$BX:$BX,BX17)</f>
        <v>927.73777509521574</v>
      </c>
      <c r="CG17" s="1191">
        <v>0.7</v>
      </c>
      <c r="CH17" s="1191">
        <f ca="1">AVERAGEIF($BW:$BW,BW17,$AC:$AC)</f>
        <v>235.8</v>
      </c>
      <c r="CI17" s="228">
        <f ca="1">AVERAGEIFS($AC:$AC,$BW:$BW,BW17,$BX:$BX,BX17)</f>
        <v>235.8</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1198.6666666666667</v>
      </c>
      <c r="CR17" s="228">
        <f ca="1">AVERAGEIFS($AF:$AF,$BW:$BW,BW17,$BX:$BX,BX17)</f>
        <v>1198.6666666666667</v>
      </c>
      <c r="CS17" s="1191">
        <v>1.3</v>
      </c>
      <c r="CT17" s="1191">
        <v>1.5</v>
      </c>
      <c r="CU17" s="1191">
        <f ca="1">AVERAGEIF($BW:$BW,$BW17,$AH:$AH)</f>
        <v>97.714285714285708</v>
      </c>
      <c r="CV17" s="228">
        <f ca="1">AVERAGEIFS($AH:$AH,$BW:$BW,$BW17,$BX:$BX,$BX17)</f>
        <v>97.714285714285708</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3497.7</v>
      </c>
      <c r="DH17" s="228">
        <f ca="1">AVERAGEIFS($AM:$AM,$BW:$BW,$BW17,$BX:$BX,$BX17)</f>
        <v>3497.7</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3.047549598212846</v>
      </c>
      <c r="ER17" s="228">
        <f ca="1">AVERAGEIFS($BH:$BH,$BW:$BW,$BW17,$BX:$BX,$BX17)</f>
        <v>3.047549598212846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460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14</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456</v>
      </c>
      <c r="AC18" s="224">
        <f>IF(ISNUMBER(Datos!Q18),Datos!Q18," - ")</f>
        <v>19</v>
      </c>
      <c r="AD18" s="224"/>
      <c r="AE18" s="224"/>
      <c r="AF18" s="224">
        <f>IF(ISNUMBER(Datos!L18),Datos!L18,"-")</f>
        <v>456</v>
      </c>
      <c r="AG18" s="333"/>
      <c r="AH18" s="224"/>
      <c r="AI18" s="224"/>
      <c r="AJ18" s="224"/>
      <c r="AK18" s="333"/>
      <c r="AL18" s="478"/>
      <c r="AM18" s="224">
        <f>IF(ISNUMBER(Datos!R18),Datos!R18," - ")</f>
        <v>10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68</v>
      </c>
      <c r="BD18" s="228">
        <f>IF(ISNUMBER(Datos!N18),Datos!N18," - ")</f>
        <v>272</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1.0133333333333334</v>
      </c>
      <c r="BH18" s="224">
        <f>IF(ISNUMBER(((IF(D_I="SI",Datos!L18/Datos!K18,(Datos!L18+Datos!AF18)/(Datos!K18+Datos!AE18)))*11)/factor_trimestre),((IF(D_I="SI",Datos!L18/Datos!K18,(Datos!L18+Datos!AF18)/(Datos!K18+Datos!AE18)))*11)/factor_trimestre," - ")</f>
        <v>3</v>
      </c>
      <c r="BI18" s="242">
        <f>IF(ISNUMBER('Resol  Asuntos'!D18/NºAsuntos!G18),'Resol  Asuntos'!D18/NºAsuntos!G18," - ")</f>
        <v>0.14912280701754385</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927.73777509521574</v>
      </c>
      <c r="CF18" s="228">
        <f ca="1">AVERAGEIFS($AB:$AB,$BW:$BW,BW18,$BX:$BX,BX18)</f>
        <v>927.73777509521574</v>
      </c>
      <c r="CG18" s="1191">
        <v>0.7</v>
      </c>
      <c r="CH18" s="1191">
        <f ca="1">AVERAGEIF($BW:$BW,BW18,$AC:$AC)</f>
        <v>235.8</v>
      </c>
      <c r="CI18" s="228">
        <f ca="1">AVERAGEIFS($AC:$AC,$BW:$BW,BW18,$BX:$BX,BX18)</f>
        <v>235.8</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1198.6666666666667</v>
      </c>
      <c r="CR18" s="228">
        <f ca="1">AVERAGEIFS($AF:$AF,$BW:$BW,BW18,$BX:$BX,BX18)</f>
        <v>1198.6666666666667</v>
      </c>
      <c r="CS18" s="1191">
        <v>1.3</v>
      </c>
      <c r="CT18" s="1191">
        <v>1.5</v>
      </c>
      <c r="CU18" s="1191">
        <f ca="1">AVERAGEIF($BW:$BW,$BW18,$AH:$AH)</f>
        <v>97.714285714285708</v>
      </c>
      <c r="CV18" s="228">
        <f ca="1">AVERAGEIFS($AH:$AH,$BW:$BW,$BW18,$BX:$BX,$BX18)</f>
        <v>97.714285714285708</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3497.7</v>
      </c>
      <c r="DH18" s="228">
        <f ca="1">AVERAGEIFS($AM:$AM,$BW:$BW,$BW18,$BX:$BX,$BX18)</f>
        <v>3497.7</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3.047549598212846</v>
      </c>
      <c r="ER18" s="228">
        <f ca="1">AVERAGEIFS($BH:$BH,$BW:$BW,$BW18,$BX:$BX,$BX18)</f>
        <v>3.047549598212846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4</v>
      </c>
      <c r="F19" s="895">
        <f>SUBTOTAL(9,F15:F18)</f>
        <v>3025</v>
      </c>
      <c r="G19" s="895">
        <f>SUBTOTAL(9,G15:G18)</f>
        <v>3454</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143</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2607</v>
      </c>
      <c r="AC19" s="896">
        <f t="shared" si="5"/>
        <v>150</v>
      </c>
      <c r="AD19" s="896">
        <f t="shared" si="5"/>
        <v>0</v>
      </c>
      <c r="AE19" s="896">
        <f t="shared" si="5"/>
        <v>0</v>
      </c>
      <c r="AF19" s="896">
        <f t="shared" si="5"/>
        <v>3509</v>
      </c>
      <c r="AG19" s="896">
        <f t="shared" si="5"/>
        <v>0</v>
      </c>
      <c r="AH19" s="896">
        <f t="shared" si="5"/>
        <v>0</v>
      </c>
      <c r="AI19" s="896">
        <f t="shared" si="5"/>
        <v>0</v>
      </c>
      <c r="AJ19" s="896">
        <f t="shared" si="5"/>
        <v>0</v>
      </c>
      <c r="AK19" s="896">
        <f t="shared" si="5"/>
        <v>0</v>
      </c>
      <c r="AL19" s="896">
        <f t="shared" si="5"/>
        <v>0</v>
      </c>
      <c r="AM19" s="896">
        <f t="shared" si="5"/>
        <v>354</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463</v>
      </c>
      <c r="BD19" s="896">
        <f t="shared" si="5"/>
        <v>1389</v>
      </c>
      <c r="BE19" s="896">
        <f t="shared" si="5"/>
        <v>0</v>
      </c>
      <c r="BF19" s="896">
        <f t="shared" si="5"/>
        <v>0</v>
      </c>
      <c r="BG19" s="896">
        <f>IF(ISNUMBER(Datos!K19/Datos!J19),Datos!K19/Datos!J19," - ")</f>
        <v>0.99163179916317989</v>
      </c>
      <c r="BH19" s="900">
        <f>IF(ISNUMBER(((Datos!L19/Datos!K19)*11)/factor_trimestre),((Datos!L19/Datos!K19)*11)/factor_trimestre," - ")</f>
        <v>4.037974683544304</v>
      </c>
      <c r="BI19" s="896">
        <f>SUBTOTAL(9,BI15:BI18)</f>
        <v>0.33275832538109568</v>
      </c>
      <c r="BJ19" s="896">
        <f>SUBTOTAL(9,BJ15:BJ18)</f>
        <v>0</v>
      </c>
      <c r="BK19" s="896">
        <f>SUBTOTAL(9,BK15:BK18)</f>
        <v>0</v>
      </c>
      <c r="BL19" s="896">
        <f>IF(ISNUMBER((I19-AB19+L19)/(F19)),(I19-AB19+L19)/(F19)," - ")</f>
        <v>-0.86181818181818182</v>
      </c>
      <c r="BM19" s="902">
        <f>IF(ISNUMBER((Datos!P19-Datos!Q19)/(Datos!R19-Datos!P19+Datos!Q19)),(Datos!P19-Datos!Q19)/(Datos!R19-Datos!P19+Datos!Q19)," - ")</f>
        <v>-1.9390581717451522E-2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11</v>
      </c>
      <c r="F20" s="817">
        <f t="shared" si="7"/>
        <v>3128</v>
      </c>
      <c r="G20" s="817">
        <f t="shared" si="7"/>
        <v>3557</v>
      </c>
      <c r="H20" s="819">
        <f t="shared" si="7"/>
        <v>0</v>
      </c>
      <c r="I20" s="817">
        <f t="shared" si="7"/>
        <v>0</v>
      </c>
      <c r="J20" s="819">
        <f t="shared" si="7"/>
        <v>0</v>
      </c>
      <c r="K20" s="819">
        <f t="shared" si="7"/>
        <v>0</v>
      </c>
      <c r="L20" s="878">
        <f t="shared" si="7"/>
        <v>0</v>
      </c>
      <c r="M20" s="878">
        <f t="shared" si="7"/>
        <v>0</v>
      </c>
      <c r="N20" s="878">
        <f t="shared" si="7"/>
        <v>261</v>
      </c>
      <c r="O20" s="878">
        <f t="shared" si="7"/>
        <v>0</v>
      </c>
      <c r="P20" s="878">
        <f t="shared" si="7"/>
        <v>0</v>
      </c>
      <c r="Q20" s="819">
        <f t="shared" si="7"/>
        <v>1440</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2689</v>
      </c>
      <c r="AC20" s="818">
        <f t="shared" si="8"/>
        <v>786</v>
      </c>
      <c r="AD20" s="818">
        <f t="shared" si="8"/>
        <v>0</v>
      </c>
      <c r="AE20" s="818">
        <f t="shared" si="8"/>
        <v>0</v>
      </c>
      <c r="AF20" s="825">
        <f t="shared" si="8"/>
        <v>3596</v>
      </c>
      <c r="AG20" s="825">
        <f t="shared" si="8"/>
        <v>0</v>
      </c>
      <c r="AH20" s="825">
        <f t="shared" si="8"/>
        <v>228</v>
      </c>
      <c r="AI20" s="825">
        <f t="shared" si="8"/>
        <v>0</v>
      </c>
      <c r="AJ20" s="818">
        <f t="shared" si="8"/>
        <v>0</v>
      </c>
      <c r="AK20" s="825">
        <f t="shared" si="8"/>
        <v>0</v>
      </c>
      <c r="AL20" s="825">
        <f t="shared" si="8"/>
        <v>0</v>
      </c>
      <c r="AM20" s="825">
        <f t="shared" si="8"/>
        <v>11659</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1071</v>
      </c>
      <c r="BD20" s="817">
        <f t="shared" si="8"/>
        <v>2187</v>
      </c>
      <c r="BE20" s="817">
        <f t="shared" si="8"/>
        <v>0</v>
      </c>
      <c r="BF20" s="827">
        <f t="shared" si="8"/>
        <v>0</v>
      </c>
      <c r="BG20" s="912">
        <f>IF(ISNUMBER(Datos!K20/Datos!J20),Datos!K20/Datos!J20," - ")</f>
        <v>1.097270016058729</v>
      </c>
      <c r="BH20" s="912">
        <f>IF(ISNUMBER(((Datos!L20/Datos!K20)*11)/factor_trimestre),((Datos!L20/Datos!K20)*11)/factor_trimestre," - ")</f>
        <v>5.106836713359816</v>
      </c>
      <c r="BI20" s="810">
        <f>IF(ISNUMBER(Datos!J20/Datos!I20),Datos!J20/Datos!I20," - ")</f>
        <v>0.51096002813269248</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-0.85965473145780047</v>
      </c>
      <c r="BM20" s="886">
        <f>IF(ISNUMBER((Datos!P20-Datos!Q20+R20)/(Datos!R20-Datos!P20+Datos!Q20-R20)),(Datos!P20-Datos!Q20+R20)/(Datos!R20-Datos!P20+Datos!Q20-R20)," - ")</f>
        <v>5.9427532939572925E-2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1422.8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2.6583202716502514</v>
      </c>
      <c r="F22" s="550">
        <f>IF(ISNUMBER(STDEV(F8:F19)),STDEV(F8:F19),"-")</f>
        <v>1687.0174865720865</v>
      </c>
      <c r="G22" s="551">
        <f>IF(ISNUMBER(STDEV(G8:G19)),STDEV(G8:G19),"-")</f>
        <v>1658.702113099275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1210.3777509521562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253.18056797471641</v>
      </c>
      <c r="BD22" s="550"/>
      <c r="BE22" s="550">
        <f>IF(ISNUMBER(STDEV(BE8:BE19)),STDEV(BE8:BE19),"-")</f>
        <v>0</v>
      </c>
      <c r="BF22" s="555">
        <f>IF(ISNUMBER(STDEV(BF8:BF19)),STDEV(BF8:BF19),"-")</f>
        <v>0</v>
      </c>
      <c r="BG22" s="772">
        <f>IF(ISNUMBER(STDEV(BG8:BG19)),STDEV(BG8:BG19),"-")</f>
        <v>0.13349717144697987</v>
      </c>
      <c r="BH22" s="773">
        <f>IF(ISNUMBER(STDEV(BH8:BH19)),STDEV(BH8:BH19),"-")</f>
        <v>1.4424170535644742</v>
      </c>
      <c r="BI22" s="248">
        <f>IF(ISNUMBER(STDEV(BI8:BI19)),STDEV(BI8:BI19),"-")</f>
        <v>8.0967048641305855E-2</v>
      </c>
      <c r="BJ22" s="986" t="str">
        <f>IF(ISNUMBER(BL22/BM22),BL22/BM22," - ")</f>
        <v xml:space="preserve"> - </v>
      </c>
      <c r="BK22" s="574"/>
      <c r="BL22" s="558">
        <f>IF(ISNUMBER(STDEV(BL8:BL19)),STDEV(BL8:BL19),"-")</f>
        <v>4.6458101316440084E-2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PkP69yDg8r2VSSt/CsD6oxSWVO0R42XO8xqhl4XVzqQ/fDJicJH/N1kKeP9VA/pzmK63kgeFwfvMdbsZDbkydQ==" saltValue="2kGOqPspq8fkuDzjeMGEX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COMUNIDAD VALENCIANA</v>
      </c>
    </row>
    <row r="2" spans="1:146" ht="16.5" customHeight="1">
      <c r="C2" s="487" t="str">
        <f>Criterios!A10 &amp;"  "&amp;Criterios!B10 &amp; "  " &amp; IF(NOT(ISBLANK(Criterios!A11)),Criterios!A11 &amp;"  "&amp;Criterios!B11,"")</f>
        <v>Provincias  VALENCIA  Resumenes por Partidos Judiciales  TORRENT</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0.25051503914297485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0.17714088296721089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er9RgBXEFj9E0CDqTM3D+M4Z+iD2jRXZXKTwH7S0bKnr0PsULGxRaQUJfr0hhsM2iaJsjpUUjqOnxJlyePyy2Q==" saltValue="9lP9AB4uhU4fiw47LQNXE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COMUNIDAD VALENCIANA</v>
      </c>
      <c r="B4" s="787" t="str">
        <f>IF(Criterios!B10=0,"",Criterios!B10)</f>
        <v>VALENCIA</v>
      </c>
      <c r="C4" s="787" t="str">
        <f>IF(Criterios!B11=0,"",Criterios!B11)</f>
        <v>TORRENT</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c87ej66kMOpMJgUIQNT+Q+ET02EI1AbDMfb30Gsgn3/VqiyWNfFsEus6G4524oeMkDgFaxl1bI7p2U3s91PQog==" saltValue="FySk4yeZFc+9z1oiLNekE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2026-10-06T14:02:49Z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